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0" yWindow="1940" windowWidth="26140" windowHeight="14240" firstSheet="1" activeTab="1"/>
  </bookViews>
  <sheets>
    <sheet name="Year-end Performance Review" sheetId="1" state="hidden" r:id="rId1"/>
    <sheet name="Salary and Wage" sheetId="2" r:id="rId2"/>
    <sheet name="Other Direct Expenses" sheetId="3" r:id="rId3"/>
    <sheet name="Equipment Depreciation" sheetId="4" r:id="rId4"/>
    <sheet name="Admin. Overhead Expenses" sheetId="5" r:id="rId5"/>
    <sheet name="Forecasted Usage" sheetId="6" r:id="rId6"/>
    <sheet name="Expense Summary" sheetId="7" r:id="rId7"/>
    <sheet name="Proposed Rate(s)" sheetId="8" r:id="rId8"/>
    <sheet name="Revenue Summary" sheetId="9" r:id="rId9"/>
    <sheet name="3 Year Projection" sheetId="10" r:id="rId10"/>
  </sheets>
  <definedNames>
    <definedName name="_xlnm.Print_Area" localSheetId="9">'3 Year Projection'!$A$1:$G$50</definedName>
    <definedName name="_xlnm.Print_Area" localSheetId="4">'Admin. Overhead Expenses'!$A$1:$K$43</definedName>
    <definedName name="_xlnm.Print_Area" localSheetId="3">'Equipment Depreciation'!$A$1:$R$35</definedName>
    <definedName name="_xlnm.Print_Area" localSheetId="6">'Expense Summary'!$A$1:$O$35</definedName>
    <definedName name="_xlnm.Print_Area" localSheetId="5">'Forecasted Usage'!$A$1:$N$19</definedName>
    <definedName name="_xlnm.Print_Area" localSheetId="2">'Other Direct Expenses'!$A$1:$L$39</definedName>
    <definedName name="_xlnm.Print_Area" localSheetId="7">'Proposed Rate(s)'!$A$1:$M$38</definedName>
    <definedName name="_xlnm.Print_Area" localSheetId="8">'Revenue Summary'!$A$1:$O$39</definedName>
    <definedName name="_xlnm.Print_Area" localSheetId="1">'Salary and Wage'!$A$1:$R$60</definedName>
    <definedName name="_xlnm.Print_Area" localSheetId="0">'Year-end Performance Review'!$A$1:$O$83</definedName>
  </definedNames>
  <calcPr fullCalcOnLoad="1"/>
</workbook>
</file>

<file path=xl/sharedStrings.xml><?xml version="1.0" encoding="utf-8"?>
<sst xmlns="http://schemas.openxmlformats.org/spreadsheetml/2006/main" count="377" uniqueCount="227">
  <si>
    <t>Total</t>
  </si>
  <si>
    <t>Jane Doe</t>
  </si>
  <si>
    <t>Service Center:</t>
  </si>
  <si>
    <t xml:space="preserve">Dept/Cost Center:  </t>
  </si>
  <si>
    <t xml:space="preserve">Primary Contact:  </t>
  </si>
  <si>
    <t>Name/Title</t>
  </si>
  <si>
    <t>Direct Phone #</t>
  </si>
  <si>
    <t>E-mail Address</t>
  </si>
  <si>
    <t>FY200Y</t>
  </si>
  <si>
    <t>FY200X</t>
  </si>
  <si>
    <t>Revenues:</t>
  </si>
  <si>
    <t>KU Departments</t>
  </si>
  <si>
    <t>Sponsored Projects</t>
  </si>
  <si>
    <t>External Users</t>
  </si>
  <si>
    <t>Total Revenues</t>
  </si>
  <si>
    <t>Expenses:</t>
  </si>
  <si>
    <t>Salaries</t>
  </si>
  <si>
    <t>Fringe Benefits</t>
  </si>
  <si>
    <t>Inventory</t>
  </si>
  <si>
    <t>Other Expenses</t>
  </si>
  <si>
    <t>Total Recoverable Expenses</t>
  </si>
  <si>
    <t>Operating Gain/Loss</t>
  </si>
  <si>
    <t>Percentage of Expenses</t>
  </si>
  <si>
    <t>Title</t>
  </si>
  <si>
    <t>Stockroom Supplies</t>
  </si>
  <si>
    <t>The University of Kansas</t>
  </si>
  <si>
    <t>Students</t>
  </si>
  <si>
    <t>Faculty/Staff</t>
  </si>
  <si>
    <t>Off Campus Entities:</t>
  </si>
  <si>
    <t>Other Universities</t>
  </si>
  <si>
    <t>Kansas State Agencies</t>
  </si>
  <si>
    <t>Other State Agencies</t>
  </si>
  <si>
    <t>Other Kansas Universities</t>
  </si>
  <si>
    <t>Other (Foundations, Corporations, etc.)</t>
  </si>
  <si>
    <t>DEPT. CHAIR/DIRECTOR APPROVAL:</t>
  </si>
  <si>
    <t>(If Academic Department or Organized Research Unit)</t>
  </si>
  <si>
    <t>COMMITTEE ACTION:</t>
  </si>
  <si>
    <t>COMMITTEE SIGNATURE:</t>
  </si>
  <si>
    <t>DATE:</t>
  </si>
  <si>
    <t>VP, ADMIN &amp; FINANCE APPROVAL:</t>
  </si>
  <si>
    <t>YES</t>
  </si>
  <si>
    <t>NO</t>
  </si>
  <si>
    <t>APPROVALS:</t>
  </si>
  <si>
    <t>DEAN APPROVAL :</t>
  </si>
  <si>
    <t>Year-end Rate Performance Review</t>
  </si>
  <si>
    <t>DESCRIPTION OF GOOD/SERVICE PROVIDED BY SERVICE CENTER:</t>
  </si>
  <si>
    <t>DATE OF APPROVED RATE STRUCTURE:</t>
  </si>
  <si>
    <t>Excluded Expenses</t>
  </si>
  <si>
    <t>IS A RATE CHANGE REQUESTED FOR THE UPCOMING FISCAL YEAR:</t>
  </si>
  <si>
    <t>If YES, attach completed "Service Center Request Form"</t>
  </si>
  <si>
    <t>Internal Users</t>
  </si>
  <si>
    <t>Capitalized Equipment</t>
  </si>
  <si>
    <r>
      <t>CASH FLOW SUMMARY:</t>
    </r>
    <r>
      <rPr>
        <sz val="11"/>
        <rFont val="Tahoma"/>
        <family val="2"/>
      </rPr>
      <t xml:space="preserve"> </t>
    </r>
    <r>
      <rPr>
        <sz val="10"/>
        <rFont val="Tahoma"/>
        <family val="2"/>
      </rPr>
      <t>(Provide both Current Year and Prior Year)</t>
    </r>
  </si>
  <si>
    <t>Salary and Wage Included in Rate Calculation</t>
  </si>
  <si>
    <t>Employee Name</t>
  </si>
  <si>
    <t>Service #1</t>
  </si>
  <si>
    <t>Cost Allocation</t>
  </si>
  <si>
    <t>% of Time</t>
  </si>
  <si>
    <t>Service #2</t>
  </si>
  <si>
    <t>Comments</t>
  </si>
  <si>
    <t>Technician</t>
  </si>
  <si>
    <t>(carry these amounts to the summary)</t>
  </si>
  <si>
    <t>Totals</t>
  </si>
  <si>
    <t>Equipment Depreciation Included in Rate Calculation</t>
  </si>
  <si>
    <t>Equipment Description</t>
  </si>
  <si>
    <t>Acquisition Date</t>
  </si>
  <si>
    <t>Purchase Price</t>
  </si>
  <si>
    <t>Useful Life</t>
  </si>
  <si>
    <t>Serial #</t>
  </si>
  <si>
    <t>Ultraviolet/Visible spectrophotometer</t>
  </si>
  <si>
    <t>ABC12345</t>
  </si>
  <si>
    <t>00499999</t>
  </si>
  <si>
    <t xml:space="preserve">** </t>
  </si>
  <si>
    <r>
      <t>Accum. Depr.</t>
    </r>
    <r>
      <rPr>
        <b/>
        <sz val="10"/>
        <rFont val="Tahoma"/>
        <family val="2"/>
      </rPr>
      <t>**</t>
    </r>
  </si>
  <si>
    <r>
      <t>Annual Depr.</t>
    </r>
    <r>
      <rPr>
        <b/>
        <sz val="10"/>
        <rFont val="Tahoma"/>
        <family val="2"/>
      </rPr>
      <t>**</t>
    </r>
  </si>
  <si>
    <t>% of Usage</t>
  </si>
  <si>
    <t>Description of Service of Supply</t>
  </si>
  <si>
    <t>Equipment Maintenance Agreement</t>
  </si>
  <si>
    <t>Check Total</t>
  </si>
  <si>
    <t>Summary of Expenses and Calculation of Rate</t>
  </si>
  <si>
    <t>Allowable Costs:</t>
  </si>
  <si>
    <t>EXAMPLE</t>
  </si>
  <si>
    <t>Other Expenses (From Other Expenses Worksheet)</t>
  </si>
  <si>
    <t>Prior Year Deficit (Surplus) Adjustment</t>
  </si>
  <si>
    <t>Forecasted Units of Good or Service:</t>
  </si>
  <si>
    <t>Total Allowable Costs</t>
  </si>
  <si>
    <t>Cost Per Unit:</t>
  </si>
  <si>
    <t>a</t>
  </si>
  <si>
    <t>b</t>
  </si>
  <si>
    <t>c</t>
  </si>
  <si>
    <t>d = a + b + c</t>
  </si>
  <si>
    <t>e</t>
  </si>
  <si>
    <t>Example:</t>
  </si>
  <si>
    <t>Salary and Wage Expenses (From Salary and Wage Worksheet)</t>
  </si>
  <si>
    <t>SERVICE CENTER PRIMARY CONTACT:</t>
  </si>
  <si>
    <t>Accepted</t>
  </si>
  <si>
    <t>Not Accepted</t>
  </si>
  <si>
    <r>
      <t>Form Requirements:</t>
    </r>
    <r>
      <rPr>
        <sz val="10"/>
        <rFont val="Tahoma"/>
        <family val="2"/>
      </rPr>
      <t xml:space="preserve">  Any department that is charging a fee for a good or service is required to complete the following form on annual basis and submit it to the Service Center Fee Evaluation Committee by December 31st.  Departments that do not complete this form by the required due date face the risk of having their fee approval revoked and will not be allowed to collect any future collections.</t>
    </r>
  </si>
  <si>
    <t>Less:  University Subsidy</t>
  </si>
  <si>
    <t>Other Direct Expenses Included in Rate Calculation</t>
  </si>
  <si>
    <t>Description of Service or Supply</t>
  </si>
  <si>
    <t>Direct Supplies (e.g. equipment supplies)</t>
  </si>
  <si>
    <t>Administrative Staff</t>
  </si>
  <si>
    <t>General Office Supplies</t>
  </si>
  <si>
    <t>Total Direct Operating Costs</t>
  </si>
  <si>
    <t>Total Allowable Overhead</t>
  </si>
  <si>
    <t>f</t>
  </si>
  <si>
    <t>g = e + f</t>
  </si>
  <si>
    <t>Metric</t>
  </si>
  <si>
    <t>Forecasted Usage Included in Rate Calculation</t>
  </si>
  <si>
    <t>Completed Test</t>
  </si>
  <si>
    <t>Machine Hours</t>
  </si>
  <si>
    <t>Service Description</t>
  </si>
  <si>
    <t>Total Number of Units Per Year (From Forecasted Usage Worksheet)</t>
  </si>
  <si>
    <t>h = g / d</t>
  </si>
  <si>
    <t>i = d x h</t>
  </si>
  <si>
    <t xml:space="preserve">j = d + i </t>
  </si>
  <si>
    <t>k</t>
  </si>
  <si>
    <t>l = j / k</t>
  </si>
  <si>
    <t>% of Allowable Overhead to Total Direct Operating Costs</t>
  </si>
  <si>
    <t>Total Estimated Annual Usage</t>
  </si>
  <si>
    <t>Sponsored Projects (Federal)</t>
  </si>
  <si>
    <t>Internal</t>
  </si>
  <si>
    <t>External - Academic</t>
  </si>
  <si>
    <t>Proposed Rate(s):</t>
  </si>
  <si>
    <t>Summary of Projected Revenues</t>
  </si>
  <si>
    <t>Requested Rate(s)</t>
  </si>
  <si>
    <t>Forecasted Revenue:</t>
  </si>
  <si>
    <t>Total Forecasted Revenue</t>
  </si>
  <si>
    <t>Total Forecasted Units of Good or Service</t>
  </si>
  <si>
    <r>
      <t xml:space="preserve">External - Academic </t>
    </r>
    <r>
      <rPr>
        <sz val="8"/>
        <rFont val="Tahoma"/>
        <family val="2"/>
      </rPr>
      <t>(From Forecasted Usage Worksheet)</t>
    </r>
  </si>
  <si>
    <r>
      <t xml:space="preserve">Internal </t>
    </r>
    <r>
      <rPr>
        <sz val="8"/>
        <rFont val="Tahoma"/>
        <family val="2"/>
      </rPr>
      <t>(From Forecasted Usage Worksheet)</t>
    </r>
  </si>
  <si>
    <t>Forecasted Revenue Distribution:</t>
  </si>
  <si>
    <t>Service Center Operating Cost Center</t>
  </si>
  <si>
    <r>
      <t xml:space="preserve">Service Center Equipment Reserve Cost Center </t>
    </r>
    <r>
      <rPr>
        <sz val="8"/>
        <rFont val="Tahoma"/>
        <family val="2"/>
      </rPr>
      <t>(recovered depreciation)</t>
    </r>
  </si>
  <si>
    <t>Service Center Excess Revenue Reserve Cost Center</t>
  </si>
  <si>
    <t xml:space="preserve">  Operations</t>
  </si>
  <si>
    <t xml:space="preserve">  Equipment Reserve</t>
  </si>
  <si>
    <t xml:space="preserve">  Rate Distribution:</t>
  </si>
  <si>
    <t xml:space="preserve">  Excess Revenue</t>
  </si>
  <si>
    <t>check total (service center operating &amp; equipment revenue less operating expenses)</t>
  </si>
  <si>
    <t>* goal is to be balanced to $0, however minimal differences allowed for rounding of fees</t>
  </si>
  <si>
    <t>Date:</t>
  </si>
  <si>
    <t xml:space="preserve">Service Center: </t>
  </si>
  <si>
    <r>
      <t xml:space="preserve">Cost Per Unit: </t>
    </r>
    <r>
      <rPr>
        <sz val="8"/>
        <rFont val="Tahoma"/>
        <family val="2"/>
      </rPr>
      <t>(From Expense Summary)</t>
    </r>
  </si>
  <si>
    <t>Summary of Proposed Rate(s)</t>
  </si>
  <si>
    <t>Boston University</t>
  </si>
  <si>
    <t>BMC</t>
  </si>
  <si>
    <t>Other (Foundations,  etc.)</t>
  </si>
  <si>
    <t>BU F&amp;A OH</t>
  </si>
  <si>
    <r>
      <t xml:space="preserve">BU F&amp;A Overhead </t>
    </r>
    <r>
      <rPr>
        <sz val="8"/>
        <rFont val="Tahoma"/>
        <family val="2"/>
      </rPr>
      <t>(Y% of External Sales -- transfer to Fund)</t>
    </r>
  </si>
  <si>
    <t>Notes:</t>
  </si>
  <si>
    <t>Fringe Benefits are calculated based on the approved federal rate.</t>
  </si>
  <si>
    <t xml:space="preserve"> (Non-Federal)</t>
  </si>
  <si>
    <t>BU</t>
  </si>
  <si>
    <t>Service #3</t>
  </si>
  <si>
    <t>Internal:</t>
  </si>
  <si>
    <t>External - Academic:</t>
  </si>
  <si>
    <t>External - Market:</t>
  </si>
  <si>
    <t>Effort %</t>
  </si>
  <si>
    <t>Effort Amount</t>
  </si>
  <si>
    <t>Annual Salary</t>
  </si>
  <si>
    <t xml:space="preserve">Service #1 </t>
  </si>
  <si>
    <t xml:space="preserve">Service #2 </t>
  </si>
  <si>
    <t xml:space="preserve">Service #3 </t>
  </si>
  <si>
    <t>FY 2010</t>
  </si>
  <si>
    <t>FY 2011</t>
  </si>
  <si>
    <t>FY 2012</t>
  </si>
  <si>
    <t>Salaries &amp; Fringe Benefits:</t>
  </si>
  <si>
    <t>FB</t>
  </si>
  <si>
    <t>%</t>
  </si>
  <si>
    <t>Salaries:</t>
  </si>
  <si>
    <t>Total Salaries</t>
  </si>
  <si>
    <t>Total Salaries &amp; Fringe Benefits</t>
  </si>
  <si>
    <t>Non-Salary Costs:</t>
  </si>
  <si>
    <t>Total Non-Salary Costs</t>
  </si>
  <si>
    <t>Estimated Costs</t>
  </si>
  <si>
    <t>Less Depreciation Expense</t>
  </si>
  <si>
    <t>Total Estimated Costs</t>
  </si>
  <si>
    <t>Total Projected Costs</t>
  </si>
  <si>
    <t>Total Projected Revenues</t>
  </si>
  <si>
    <t>Projected Yearly Surplus/(Deficit)</t>
  </si>
  <si>
    <t>Accumulated Surplus/(Deficit)</t>
  </si>
  <si>
    <t>Break Even Rate</t>
  </si>
  <si>
    <t>Projected average charge rate</t>
  </si>
  <si>
    <t xml:space="preserve">Projected annual usage </t>
  </si>
  <si>
    <t>Service Center Name:</t>
  </si>
  <si>
    <t>Service Center Location:</t>
  </si>
  <si>
    <t>Re: Service Center 3 Year Projection</t>
  </si>
  <si>
    <t>Depreciation Expense</t>
  </si>
  <si>
    <t xml:space="preserve"> Effort Amount   </t>
  </si>
  <si>
    <t>Administrative Overhead Expenses Included in Rate Calculation</t>
  </si>
  <si>
    <t>Other</t>
  </si>
  <si>
    <r>
      <t xml:space="preserve">Internal </t>
    </r>
    <r>
      <rPr>
        <sz val="8"/>
        <rFont val="Tahoma"/>
        <family val="2"/>
      </rPr>
      <t>(From Proposed Rate(s) Worksheet)</t>
    </r>
  </si>
  <si>
    <r>
      <t xml:space="preserve">External - Academic </t>
    </r>
    <r>
      <rPr>
        <sz val="8"/>
        <rFont val="Tahoma"/>
        <family val="2"/>
      </rPr>
      <t>(From Proposed Rate(s) Worksheet)</t>
    </r>
  </si>
  <si>
    <t>Service Number</t>
  </si>
  <si>
    <t>Fringe Benefit Rate %</t>
  </si>
  <si>
    <t>Federal</t>
  </si>
  <si>
    <t>The approved Federal Fringe Benefit Rates are as follows:</t>
  </si>
  <si>
    <t>BU Professional</t>
  </si>
  <si>
    <t>BU Support Staff</t>
  </si>
  <si>
    <t>Input the rate % from the below listed federal rates if the rate is other than the one listed.</t>
  </si>
  <si>
    <t>Total    Salary &amp; FB</t>
  </si>
  <si>
    <t>Fringe Benefits Amount</t>
  </si>
  <si>
    <t>Items To Be Filled In By Service Center</t>
  </si>
  <si>
    <t xml:space="preserve">The federal fringe benefit rate % has been populated with the BU Professional Rate. </t>
  </si>
  <si>
    <t xml:space="preserve">BMC </t>
  </si>
  <si>
    <t>Other (Corporations, etc.)</t>
  </si>
  <si>
    <t>External - Market</t>
  </si>
  <si>
    <t>Depreciation (From Equipment Depreciation Worksheet)</t>
  </si>
  <si>
    <t>Admin. Overhead Expenses (From Admin.Overhead Exps Worksheet)</t>
  </si>
  <si>
    <t>Administrative Overhead Allocation</t>
  </si>
  <si>
    <r>
      <t xml:space="preserve">External - Market </t>
    </r>
    <r>
      <rPr>
        <sz val="8"/>
        <rFont val="Tahoma"/>
        <family val="2"/>
      </rPr>
      <t>(From Proposed Rate(s) Worksheet)</t>
    </r>
  </si>
  <si>
    <r>
      <t xml:space="preserve">External - Market </t>
    </r>
    <r>
      <rPr>
        <sz val="8"/>
        <rFont val="Tahoma"/>
        <family val="2"/>
      </rPr>
      <t>(From Forecasted Usage Worksheet)</t>
    </r>
  </si>
  <si>
    <t>* typically internal rate plus + uncapped F&amp;A overhead rate (Y%)</t>
  </si>
  <si>
    <t>Model #</t>
  </si>
  <si>
    <t>BU Asset ID (Tag) #</t>
  </si>
  <si>
    <t>BU Graduate Students (CRC and MED)</t>
  </si>
  <si>
    <t>Check Total Must Equal 100%</t>
  </si>
  <si>
    <t>BU Personnel #</t>
  </si>
  <si>
    <t>SAP Cost Center</t>
  </si>
  <si>
    <t>1234567890</t>
  </si>
  <si>
    <t>FY 2017</t>
  </si>
  <si>
    <t>FY 2018</t>
  </si>
  <si>
    <t>FY 2019</t>
  </si>
  <si>
    <t>Fiscal Year 2017</t>
  </si>
  <si>
    <t>FY 2020</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</si>
</sst>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
    <numFmt numFmtId="167" formatCode="&quot;Yes&quot;;&quot;Yes&quot;;&quot;No&quot;"/>
    <numFmt numFmtId="168" formatCode="&quot;True&quot;;&quot;True&quot;;&quot;False&quot;"/>
    <numFmt numFmtId="169" formatCode="&quot;On&quot;;&quot;On&quot;;&quot;Off&quot;"/>
    <numFmt numFmtId="170" formatCode="&quot;$&quot;#,##0.0"/>
    <numFmt numFmtId="171" formatCode="_(&quot;$&quot;* #,##0.000_);_(&quot;$&quot;* \(#,##0.000\);_(&quot;$&quot;* &quot;-&quot;??_);_(@_)"/>
    <numFmt numFmtId="172" formatCode="_(&quot;$&quot;* #,##0.0000_);_(&quot;$&quot;* \(#,##0.0000\);_(&quot;$&quot;* &quot;-&quot;??_);_(@_)"/>
    <numFmt numFmtId="173" formatCode="_(&quot;$&quot;* #,##0.0_);_(&quot;$&quot;* \(#,##0.0\);_(&quot;$&quot;* &quot;-&quot;??_);_(@_)"/>
    <numFmt numFmtId="174" formatCode="_(&quot;$&quot;* #,##0_);_(&quot;$&quot;* \(#,##0\);_(&quot;$&quot;* &quot;-&quot;??_);_(@_)"/>
    <numFmt numFmtId="175" formatCode="_(* #,##0.0_);_(* \(#,##0.0\);_(* &quot;-&quot;??_);_(@_)"/>
    <numFmt numFmtId="176" formatCode="_(* #,##0_);_(* \(#,##0\);_(* &quot;-&quot;??_);_(@_)"/>
    <numFmt numFmtId="177" formatCode="0.0%"/>
    <numFmt numFmtId="178" formatCode="[$€-2]\ #,##0.00_);[Red]\([$€-2]\ #,##0.00\)"/>
    <numFmt numFmtId="179" formatCode="[$$-409]#,##0"/>
    <numFmt numFmtId="180" formatCode="0.0000000"/>
    <numFmt numFmtId="181" formatCode="0.000000"/>
    <numFmt numFmtId="182" formatCode="0.00000"/>
    <numFmt numFmtId="183" formatCode="0.0000"/>
    <numFmt numFmtId="184" formatCode="0.000"/>
    <numFmt numFmtId="185" formatCode="[$-409]dddd\,\ mmmm\ dd\,\ yyyy"/>
    <numFmt numFmtId="186" formatCode="_(* #,##0.000_);_(* \(#,##0.000\);_(* &quot;-&quot;???_);_(@_)"/>
    <numFmt numFmtId="187" formatCode="_(&quot;$&quot;* #,##0.000_);_(&quot;$&quot;* \(#,##0.000\);_(&quot;$&quot;* &quot;-&quot;???_);_(@_)"/>
    <numFmt numFmtId="188" formatCode="&quot;$&quot;#,##0.0_);[Red]\(&quot;$&quot;#,##0.0\)"/>
    <numFmt numFmtId="189" formatCode="_(&quot;$&quot;* #,##0.00000_);_(&quot;$&quot;* \(#,##0.00000\);_(&quot;$&quot;* &quot;-&quot;?????_);_(@_)"/>
    <numFmt numFmtId="190" formatCode="&quot;$&quot;#,##0.000_);[Red]\(&quot;$&quot;#,##0.000\)"/>
    <numFmt numFmtId="191" formatCode="0.0"/>
    <numFmt numFmtId="192" formatCode="_(* #,##0.0_);_(* \(#,##0.0\);_(* &quot;-&quot;?_);_(@_)"/>
    <numFmt numFmtId="193" formatCode="m/d/yy;@"/>
    <numFmt numFmtId="194" formatCode="[$-409]h:mm:ss\ AM/PM"/>
    <numFmt numFmtId="195" formatCode="[$-F400]h:mm:ss\ AM/PM"/>
    <numFmt numFmtId="196" formatCode="_(* #,##0.00000_);_(* \(#,##0.00000\);_(* &quot;-&quot;?????_);_(@_)"/>
  </numFmts>
  <fonts count="84">
    <font>
      <sz val="10"/>
      <name val="Arial"/>
      <family val="0"/>
    </font>
    <font>
      <b/>
      <sz val="10"/>
      <name val="Arial"/>
      <family val="2"/>
    </font>
    <font>
      <sz val="9"/>
      <name val="Arial"/>
      <family val="2"/>
    </font>
    <font>
      <sz val="8"/>
      <name val="Tahoma"/>
      <family val="2"/>
    </font>
    <font>
      <sz val="10"/>
      <name val="Tahoma"/>
      <family val="2"/>
    </font>
    <font>
      <b/>
      <sz val="10"/>
      <name val="Tahoma"/>
      <family val="2"/>
    </font>
    <font>
      <sz val="11"/>
      <name val="Tahoma"/>
      <family val="2"/>
    </font>
    <font>
      <b/>
      <sz val="22"/>
      <name val="Palatino Linotype"/>
      <family val="1"/>
    </font>
    <font>
      <sz val="14"/>
      <name val="Tahoma"/>
      <family val="2"/>
    </font>
    <font>
      <sz val="9"/>
      <name val="Tahoma"/>
      <family val="2"/>
    </font>
    <font>
      <b/>
      <sz val="11"/>
      <name val="Tahoma"/>
      <family val="2"/>
    </font>
    <font>
      <b/>
      <sz val="12"/>
      <name val="Tahoma"/>
      <family val="2"/>
    </font>
    <font>
      <b/>
      <sz val="8"/>
      <name val="Arial"/>
      <family val="2"/>
    </font>
    <font>
      <sz val="8"/>
      <color indexed="55"/>
      <name val="Tahoma"/>
      <family val="2"/>
    </font>
    <font>
      <b/>
      <sz val="10"/>
      <color indexed="23"/>
      <name val="Tahoma"/>
      <family val="2"/>
    </font>
    <font>
      <sz val="10"/>
      <color indexed="23"/>
      <name val="Tahoma"/>
      <family val="2"/>
    </font>
    <font>
      <sz val="8"/>
      <color indexed="23"/>
      <name val="Tahoma"/>
      <family val="2"/>
    </font>
    <font>
      <u val="single"/>
      <sz val="7"/>
      <color indexed="36"/>
      <name val="Arial"/>
      <family val="2"/>
    </font>
    <font>
      <u val="single"/>
      <sz val="7"/>
      <color indexed="12"/>
      <name val="Arial"/>
      <family val="2"/>
    </font>
    <font>
      <sz val="12"/>
      <name val="Tahoma"/>
      <family val="2"/>
    </font>
    <font>
      <b/>
      <u val="single"/>
      <sz val="10"/>
      <name val="Arial"/>
      <family val="2"/>
    </font>
    <font>
      <b/>
      <u val="single"/>
      <sz val="10"/>
      <name val="Tahoma"/>
      <family val="2"/>
    </font>
    <font>
      <b/>
      <sz val="8"/>
      <name val="Tahoma"/>
      <family val="2"/>
    </font>
    <font>
      <u val="single"/>
      <sz val="10"/>
      <name val="Tahoma"/>
      <family val="2"/>
    </font>
    <font>
      <u val="single"/>
      <sz val="9"/>
      <name val="Tahoma"/>
      <family val="2"/>
    </font>
    <font>
      <b/>
      <sz val="12"/>
      <name val="Arial"/>
      <family val="2"/>
    </font>
    <font>
      <b/>
      <sz val="11"/>
      <name val="Arial"/>
      <family val="2"/>
    </font>
    <font>
      <u val="single"/>
      <sz val="10"/>
      <name val="Arial"/>
      <family val="2"/>
    </font>
    <font>
      <b/>
      <u val="single"/>
      <sz val="12"/>
      <name val="Arial"/>
      <family val="2"/>
    </font>
    <font>
      <sz val="10"/>
      <color indexed="8"/>
      <name val="Arial"/>
      <family val="2"/>
    </font>
    <font>
      <sz val="8"/>
      <name val="Arial"/>
      <family val="2"/>
    </font>
    <font>
      <sz val="12"/>
      <name val="Arial"/>
      <family val="2"/>
    </font>
    <font>
      <sz val="11"/>
      <name val="Arial"/>
      <family val="2"/>
    </font>
    <font>
      <u val="single"/>
      <sz val="12"/>
      <name val="Arial"/>
      <family val="2"/>
    </font>
    <font>
      <b/>
      <u val="single"/>
      <sz val="11"/>
      <name val="Arial"/>
      <family val="2"/>
    </font>
    <font>
      <b/>
      <sz val="9"/>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ahoma"/>
      <family val="2"/>
    </font>
    <font>
      <sz val="8"/>
      <color indexed="8"/>
      <name val="Arial"/>
      <family val="2"/>
    </font>
    <font>
      <u val="single"/>
      <sz val="8"/>
      <color indexed="8"/>
      <name val="Tahoma"/>
      <family val="2"/>
    </font>
    <font>
      <sz val="14"/>
      <color indexed="43"/>
      <name val="Tahoma"/>
      <family val="2"/>
    </font>
    <font>
      <b/>
      <sz val="11"/>
      <color indexed="10"/>
      <name val="Arial"/>
      <family val="2"/>
    </font>
    <font>
      <b/>
      <sz val="8"/>
      <color indexed="8"/>
      <name val="Tahoma"/>
      <family val="2"/>
    </font>
    <font>
      <sz val="10"/>
      <color indexed="8"/>
      <name val="Tahoma"/>
      <family val="0"/>
    </font>
    <font>
      <b/>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ahoma"/>
      <family val="2"/>
    </font>
    <font>
      <sz val="8"/>
      <color theme="1"/>
      <name val="Arial"/>
      <family val="2"/>
    </font>
    <font>
      <u val="single"/>
      <sz val="8"/>
      <color theme="1"/>
      <name val="Tahoma"/>
      <family val="2"/>
    </font>
    <font>
      <sz val="14"/>
      <color rgb="FFFFFF99"/>
      <name val="Tahoma"/>
      <family val="2"/>
    </font>
    <font>
      <b/>
      <sz val="11"/>
      <color rgb="FFFF0000"/>
      <name val="Arial"/>
      <family val="2"/>
    </font>
    <font>
      <b/>
      <sz val="8"/>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color indexed="63"/>
      </right>
      <top style="thin"/>
      <bottom style="double"/>
    </border>
    <border>
      <left style="thin"/>
      <right style="thin"/>
      <top style="thin"/>
      <bottom style="thin"/>
    </border>
    <border>
      <left>
        <color indexed="63"/>
      </left>
      <right style="thin"/>
      <top style="thin"/>
      <bottom style="medium"/>
    </border>
    <border>
      <left>
        <color indexed="63"/>
      </left>
      <right>
        <color indexed="63"/>
      </right>
      <top>
        <color indexed="63"/>
      </top>
      <bottom style="double"/>
    </border>
    <border>
      <left style="thin"/>
      <right style="thin"/>
      <top style="medium"/>
      <bottom>
        <color indexed="63"/>
      </bottom>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74">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wrapText="1"/>
    </xf>
    <xf numFmtId="0" fontId="0" fillId="0" borderId="0" xfId="0" applyAlignment="1">
      <alignment horizontal="center"/>
    </xf>
    <xf numFmtId="0" fontId="1" fillId="0" borderId="0" xfId="0" applyFont="1" applyBorder="1" applyAlignment="1">
      <alignment/>
    </xf>
    <xf numFmtId="176" fontId="0" fillId="0" borderId="0" xfId="42" applyNumberFormat="1" applyAlignment="1">
      <alignment/>
    </xf>
    <xf numFmtId="0" fontId="4" fillId="0" borderId="0" xfId="0" applyFont="1" applyAlignment="1">
      <alignment/>
    </xf>
    <xf numFmtId="0" fontId="4"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horizontal="center"/>
    </xf>
    <xf numFmtId="0" fontId="3" fillId="0" borderId="0" xfId="0" applyFont="1" applyAlignment="1">
      <alignment/>
    </xf>
    <xf numFmtId="0" fontId="6" fillId="0" borderId="0" xfId="0" applyFont="1" applyAlignment="1">
      <alignment/>
    </xf>
    <xf numFmtId="0" fontId="7" fillId="0" borderId="0" xfId="0" applyFont="1" applyAlignment="1">
      <alignment horizontal="center"/>
    </xf>
    <xf numFmtId="0" fontId="4" fillId="0" borderId="0" xfId="0" applyFont="1" applyAlignment="1">
      <alignment/>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5"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xf>
    <xf numFmtId="0" fontId="11" fillId="0" borderId="0" xfId="0" applyFont="1" applyAlignment="1">
      <alignment/>
    </xf>
    <xf numFmtId="176" fontId="4" fillId="0" borderId="0" xfId="42" applyNumberFormat="1" applyFont="1" applyAlignment="1">
      <alignment/>
    </xf>
    <xf numFmtId="176" fontId="4" fillId="0" borderId="11" xfId="42" applyNumberFormat="1" applyFont="1" applyBorder="1" applyAlignment="1">
      <alignment/>
    </xf>
    <xf numFmtId="176" fontId="4" fillId="0" borderId="14" xfId="42" applyNumberFormat="1" applyFont="1" applyBorder="1" applyAlignment="1">
      <alignment/>
    </xf>
    <xf numFmtId="176" fontId="6" fillId="0" borderId="19" xfId="42" applyNumberFormat="1" applyFont="1" applyBorder="1" applyAlignment="1">
      <alignment horizontal="center"/>
    </xf>
    <xf numFmtId="0" fontId="6" fillId="0" borderId="20" xfId="0" applyFont="1" applyBorder="1" applyAlignment="1">
      <alignment horizontal="center"/>
    </xf>
    <xf numFmtId="176" fontId="6" fillId="0" borderId="21" xfId="42" applyNumberFormat="1" applyFont="1" applyBorder="1" applyAlignment="1">
      <alignment horizontal="center"/>
    </xf>
    <xf numFmtId="176" fontId="4" fillId="0" borderId="22" xfId="42" applyNumberFormat="1" applyFont="1" applyBorder="1" applyAlignment="1">
      <alignment/>
    </xf>
    <xf numFmtId="176" fontId="4" fillId="0" borderId="23" xfId="42" applyNumberFormat="1" applyFont="1" applyBorder="1" applyAlignment="1">
      <alignment/>
    </xf>
    <xf numFmtId="176" fontId="4" fillId="0" borderId="19" xfId="42" applyNumberFormat="1" applyFont="1" applyBorder="1" applyAlignment="1">
      <alignment/>
    </xf>
    <xf numFmtId="176" fontId="4" fillId="0" borderId="21" xfId="42" applyNumberFormat="1" applyFont="1" applyBorder="1" applyAlignment="1">
      <alignment/>
    </xf>
    <xf numFmtId="176" fontId="4" fillId="0" borderId="24" xfId="42" applyNumberFormat="1" applyFont="1" applyBorder="1" applyAlignment="1">
      <alignment/>
    </xf>
    <xf numFmtId="176" fontId="4" fillId="0" borderId="25" xfId="42" applyNumberFormat="1" applyFont="1" applyBorder="1" applyAlignment="1">
      <alignment/>
    </xf>
    <xf numFmtId="9" fontId="4" fillId="0" borderId="22" xfId="62" applyFont="1" applyBorder="1" applyAlignment="1">
      <alignment/>
    </xf>
    <xf numFmtId="9" fontId="4" fillId="0" borderId="23" xfId="62" applyFont="1" applyBorder="1" applyAlignment="1">
      <alignment/>
    </xf>
    <xf numFmtId="176" fontId="4" fillId="0" borderId="26" xfId="42" applyNumberFormat="1" applyFont="1" applyBorder="1" applyAlignment="1">
      <alignment/>
    </xf>
    <xf numFmtId="176" fontId="4" fillId="0" borderId="10" xfId="42" applyNumberFormat="1" applyFont="1" applyBorder="1" applyAlignment="1">
      <alignment/>
    </xf>
    <xf numFmtId="43" fontId="0" fillId="0" borderId="0" xfId="42" applyBorder="1" applyAlignment="1">
      <alignment/>
    </xf>
    <xf numFmtId="0" fontId="4" fillId="0" borderId="27" xfId="0" applyFont="1" applyBorder="1" applyAlignment="1">
      <alignment/>
    </xf>
    <xf numFmtId="0" fontId="4" fillId="0" borderId="28" xfId="0" applyFont="1" applyBorder="1" applyAlignment="1">
      <alignment/>
    </xf>
    <xf numFmtId="0" fontId="4" fillId="0" borderId="16" xfId="0" applyFont="1" applyBorder="1" applyAlignment="1">
      <alignment horizontal="center"/>
    </xf>
    <xf numFmtId="0" fontId="4" fillId="0" borderId="16" xfId="0" applyFont="1" applyBorder="1" applyAlignment="1">
      <alignment horizontal="center" wrapText="1"/>
    </xf>
    <xf numFmtId="0" fontId="4" fillId="0" borderId="29"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lignment horizontal="center" wrapText="1"/>
    </xf>
    <xf numFmtId="0" fontId="3" fillId="0" borderId="0" xfId="0" applyFont="1" applyBorder="1" applyAlignment="1">
      <alignment horizontal="center"/>
    </xf>
    <xf numFmtId="43" fontId="3" fillId="0" borderId="0" xfId="42" applyFont="1" applyBorder="1" applyAlignment="1">
      <alignment/>
    </xf>
    <xf numFmtId="9" fontId="3" fillId="0" borderId="0" xfId="62" applyFont="1" applyBorder="1" applyAlignment="1">
      <alignment/>
    </xf>
    <xf numFmtId="43" fontId="3" fillId="0" borderId="11" xfId="42" applyFont="1" applyBorder="1" applyAlignment="1">
      <alignment/>
    </xf>
    <xf numFmtId="43" fontId="0" fillId="0" borderId="20" xfId="42" applyBorder="1" applyAlignment="1">
      <alignment/>
    </xf>
    <xf numFmtId="0" fontId="3" fillId="0" borderId="0" xfId="0" applyFont="1" applyBorder="1" applyAlignment="1">
      <alignment/>
    </xf>
    <xf numFmtId="0" fontId="12" fillId="0" borderId="0" xfId="0" applyFont="1" applyBorder="1" applyAlignment="1">
      <alignment horizontal="center"/>
    </xf>
    <xf numFmtId="0" fontId="4" fillId="0" borderId="0" xfId="0" applyFont="1" applyBorder="1" applyAlignment="1">
      <alignment horizontal="center" wrapText="1"/>
    </xf>
    <xf numFmtId="0" fontId="13" fillId="0" borderId="0" xfId="0" applyFont="1" applyBorder="1" applyAlignment="1">
      <alignment horizontal="center" wrapText="1"/>
    </xf>
    <xf numFmtId="9" fontId="13" fillId="0" borderId="0" xfId="62" applyFont="1" applyBorder="1" applyAlignment="1">
      <alignment/>
    </xf>
    <xf numFmtId="0" fontId="5" fillId="0" borderId="0" xfId="0" applyFont="1" applyBorder="1" applyAlignment="1">
      <alignment horizontal="center" wrapText="1"/>
    </xf>
    <xf numFmtId="0" fontId="10" fillId="0" borderId="0" xfId="0" applyFont="1" applyAlignment="1">
      <alignment/>
    </xf>
    <xf numFmtId="9" fontId="16" fillId="0" borderId="0" xfId="62" applyFont="1" applyBorder="1" applyAlignment="1">
      <alignment/>
    </xf>
    <xf numFmtId="43" fontId="16" fillId="0" borderId="0" xfId="42" applyFont="1" applyBorder="1" applyAlignment="1">
      <alignment/>
    </xf>
    <xf numFmtId="43" fontId="15" fillId="0" borderId="0" xfId="42" applyFont="1" applyBorder="1" applyAlignment="1">
      <alignment/>
    </xf>
    <xf numFmtId="9" fontId="15" fillId="0" borderId="0" xfId="62" applyFont="1" applyBorder="1" applyAlignment="1">
      <alignment/>
    </xf>
    <xf numFmtId="43" fontId="4" fillId="0" borderId="0" xfId="42" applyFont="1" applyBorder="1" applyAlignment="1">
      <alignment/>
    </xf>
    <xf numFmtId="9" fontId="4" fillId="0" borderId="0" xfId="62" applyFont="1" applyBorder="1" applyAlignment="1">
      <alignment/>
    </xf>
    <xf numFmtId="0" fontId="10" fillId="0" borderId="0" xfId="0" applyFont="1" applyBorder="1" applyAlignment="1">
      <alignment/>
    </xf>
    <xf numFmtId="0" fontId="16" fillId="0" borderId="23" xfId="0" applyFont="1" applyBorder="1" applyAlignment="1">
      <alignment horizontal="center"/>
    </xf>
    <xf numFmtId="9" fontId="16" fillId="0" borderId="23" xfId="62" applyFont="1" applyBorder="1" applyAlignment="1">
      <alignment/>
    </xf>
    <xf numFmtId="0" fontId="16" fillId="0" borderId="23" xfId="0" applyFont="1" applyBorder="1" applyAlignment="1">
      <alignment/>
    </xf>
    <xf numFmtId="0" fontId="16" fillId="0" borderId="10" xfId="0" applyFont="1" applyBorder="1" applyAlignment="1">
      <alignment/>
    </xf>
    <xf numFmtId="43" fontId="3" fillId="0" borderId="0" xfId="42" applyFont="1" applyFill="1" applyBorder="1" applyAlignment="1">
      <alignment/>
    </xf>
    <xf numFmtId="0" fontId="0" fillId="0" borderId="0" xfId="0" applyFill="1" applyAlignment="1">
      <alignment/>
    </xf>
    <xf numFmtId="0" fontId="8" fillId="0" borderId="21" xfId="0" applyFont="1" applyBorder="1" applyAlignment="1">
      <alignment horizontal="center"/>
    </xf>
    <xf numFmtId="0" fontId="14" fillId="0" borderId="23" xfId="0" applyFont="1" applyBorder="1" applyAlignment="1">
      <alignment horizontal="center" wrapText="1"/>
    </xf>
    <xf numFmtId="0" fontId="15" fillId="0" borderId="23" xfId="0" applyFont="1" applyBorder="1" applyAlignment="1">
      <alignment horizontal="center" wrapText="1"/>
    </xf>
    <xf numFmtId="9" fontId="15" fillId="0" borderId="23" xfId="62" applyFont="1" applyBorder="1" applyAlignment="1">
      <alignment/>
    </xf>
    <xf numFmtId="0" fontId="4" fillId="0" borderId="22" xfId="0" applyFont="1" applyBorder="1" applyAlignment="1">
      <alignment/>
    </xf>
    <xf numFmtId="0" fontId="4" fillId="0" borderId="23" xfId="0" applyFont="1" applyBorder="1" applyAlignment="1">
      <alignment/>
    </xf>
    <xf numFmtId="43" fontId="0" fillId="0" borderId="26" xfId="42" applyBorder="1" applyAlignment="1">
      <alignment/>
    </xf>
    <xf numFmtId="43" fontId="0" fillId="0" borderId="11" xfId="42" applyBorder="1" applyAlignment="1">
      <alignment/>
    </xf>
    <xf numFmtId="43" fontId="0" fillId="0" borderId="10" xfId="42" applyBorder="1" applyAlignment="1">
      <alignment/>
    </xf>
    <xf numFmtId="0" fontId="3" fillId="0" borderId="22" xfId="0" applyFont="1" applyBorder="1" applyAlignment="1">
      <alignment/>
    </xf>
    <xf numFmtId="0" fontId="0" fillId="0" borderId="13" xfId="0" applyBorder="1" applyAlignment="1">
      <alignment/>
    </xf>
    <xf numFmtId="0" fontId="0" fillId="0" borderId="18" xfId="0" applyBorder="1" applyAlignment="1">
      <alignment/>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3" fillId="0" borderId="28" xfId="0" applyFont="1" applyBorder="1" applyAlignment="1">
      <alignment/>
    </xf>
    <xf numFmtId="43" fontId="16" fillId="0" borderId="0" xfId="0" applyNumberFormat="1" applyFont="1" applyAlignment="1">
      <alignment/>
    </xf>
    <xf numFmtId="9" fontId="3" fillId="0" borderId="0" xfId="62" applyFont="1" applyFill="1" applyBorder="1" applyAlignment="1">
      <alignment/>
    </xf>
    <xf numFmtId="0" fontId="3" fillId="0" borderId="31" xfId="0" applyFont="1" applyBorder="1" applyAlignment="1">
      <alignment/>
    </xf>
    <xf numFmtId="0" fontId="3" fillId="0" borderId="32" xfId="0" applyFont="1" applyBorder="1" applyAlignment="1">
      <alignment/>
    </xf>
    <xf numFmtId="0" fontId="3" fillId="0" borderId="0" xfId="0" applyFont="1" applyFill="1" applyBorder="1" applyAlignment="1">
      <alignment/>
    </xf>
    <xf numFmtId="43" fontId="4" fillId="0" borderId="0" xfId="42" applyFont="1" applyFill="1" applyBorder="1" applyAlignment="1">
      <alignment/>
    </xf>
    <xf numFmtId="9" fontId="16" fillId="0" borderId="0" xfId="62" applyFont="1" applyFill="1" applyBorder="1" applyAlignment="1">
      <alignment/>
    </xf>
    <xf numFmtId="0" fontId="19" fillId="0" borderId="0" xfId="0" applyFont="1" applyAlignment="1">
      <alignment/>
    </xf>
    <xf numFmtId="43" fontId="0" fillId="0" borderId="0" xfId="42" applyFont="1" applyBorder="1" applyAlignment="1">
      <alignment/>
    </xf>
    <xf numFmtId="0" fontId="0" fillId="0" borderId="0" xfId="0" applyFont="1" applyAlignment="1">
      <alignment/>
    </xf>
    <xf numFmtId="0" fontId="20" fillId="0" borderId="0" xfId="0" applyFont="1" applyAlignment="1">
      <alignment/>
    </xf>
    <xf numFmtId="41" fontId="0" fillId="0" borderId="23" xfId="42" applyNumberFormat="1" applyFont="1" applyBorder="1" applyAlignment="1">
      <alignment/>
    </xf>
    <xf numFmtId="41" fontId="0" fillId="0" borderId="22" xfId="42" applyNumberFormat="1" applyFont="1" applyBorder="1" applyAlignment="1">
      <alignment/>
    </xf>
    <xf numFmtId="41" fontId="0" fillId="0" borderId="20" xfId="42" applyNumberFormat="1" applyFont="1" applyBorder="1" applyAlignment="1">
      <alignment/>
    </xf>
    <xf numFmtId="41" fontId="0" fillId="0" borderId="0" xfId="42" applyNumberFormat="1" applyFont="1" applyBorder="1" applyAlignment="1">
      <alignment/>
    </xf>
    <xf numFmtId="41" fontId="0" fillId="0" borderId="33" xfId="42" applyNumberFormat="1" applyFont="1" applyBorder="1" applyAlignment="1">
      <alignment/>
    </xf>
    <xf numFmtId="41" fontId="0" fillId="0" borderId="14" xfId="42" applyNumberFormat="1" applyFont="1" applyBorder="1" applyAlignment="1">
      <alignment/>
    </xf>
    <xf numFmtId="41" fontId="0" fillId="0" borderId="34" xfId="42" applyNumberFormat="1" applyFont="1" applyBorder="1" applyAlignment="1">
      <alignment/>
    </xf>
    <xf numFmtId="0" fontId="8" fillId="0" borderId="16" xfId="0" applyFont="1" applyBorder="1" applyAlignment="1">
      <alignment horizontal="center"/>
    </xf>
    <xf numFmtId="0" fontId="4" fillId="0" borderId="35" xfId="0" applyFont="1" applyBorder="1" applyAlignment="1">
      <alignment horizontal="center"/>
    </xf>
    <xf numFmtId="0" fontId="5" fillId="0" borderId="11" xfId="0" applyFont="1" applyBorder="1" applyAlignment="1">
      <alignment horizontal="center"/>
    </xf>
    <xf numFmtId="41" fontId="3" fillId="0" borderId="11" xfId="42" applyNumberFormat="1" applyFont="1" applyFill="1" applyBorder="1" applyAlignment="1">
      <alignment/>
    </xf>
    <xf numFmtId="41" fontId="4" fillId="0" borderId="0" xfId="62" applyNumberFormat="1" applyFont="1" applyBorder="1" applyAlignment="1">
      <alignment/>
    </xf>
    <xf numFmtId="42" fontId="3" fillId="0" borderId="36" xfId="42" applyNumberFormat="1" applyFont="1" applyBorder="1" applyAlignment="1">
      <alignment/>
    </xf>
    <xf numFmtId="42" fontId="4" fillId="0" borderId="0" xfId="62" applyNumberFormat="1" applyFont="1" applyBorder="1" applyAlignment="1">
      <alignment/>
    </xf>
    <xf numFmtId="41" fontId="3" fillId="0" borderId="0" xfId="42" applyNumberFormat="1" applyFont="1" applyBorder="1" applyAlignment="1">
      <alignment/>
    </xf>
    <xf numFmtId="41" fontId="0" fillId="0" borderId="0" xfId="42" applyNumberFormat="1" applyFont="1" applyBorder="1" applyAlignment="1">
      <alignment/>
    </xf>
    <xf numFmtId="41" fontId="0" fillId="0" borderId="0" xfId="42" applyNumberFormat="1" applyBorder="1" applyAlignment="1">
      <alignment/>
    </xf>
    <xf numFmtId="41" fontId="0" fillId="0" borderId="0" xfId="0" applyNumberFormat="1" applyFont="1" applyBorder="1" applyAlignment="1">
      <alignment/>
    </xf>
    <xf numFmtId="41" fontId="0" fillId="0" borderId="0" xfId="0" applyNumberFormat="1" applyAlignment="1">
      <alignment/>
    </xf>
    <xf numFmtId="41" fontId="4" fillId="0" borderId="0" xfId="42" applyNumberFormat="1" applyFont="1" applyBorder="1" applyAlignment="1">
      <alignment/>
    </xf>
    <xf numFmtId="41" fontId="3" fillId="0" borderId="0" xfId="0" applyNumberFormat="1" applyFont="1" applyBorder="1" applyAlignment="1">
      <alignment/>
    </xf>
    <xf numFmtId="41" fontId="3" fillId="0" borderId="0" xfId="42" applyNumberFormat="1" applyFont="1" applyAlignment="1">
      <alignment/>
    </xf>
    <xf numFmtId="0" fontId="21" fillId="0" borderId="0" xfId="0" applyFont="1" applyAlignment="1">
      <alignment/>
    </xf>
    <xf numFmtId="41" fontId="3" fillId="0" borderId="14" xfId="42" applyNumberFormat="1" applyFont="1" applyBorder="1" applyAlignment="1">
      <alignment/>
    </xf>
    <xf numFmtId="41" fontId="22" fillId="0" borderId="0" xfId="42" applyNumberFormat="1" applyFont="1" applyAlignment="1">
      <alignment/>
    </xf>
    <xf numFmtId="41" fontId="1" fillId="0" borderId="0" xfId="0" applyNumberFormat="1" applyFont="1" applyAlignment="1">
      <alignment/>
    </xf>
    <xf numFmtId="0" fontId="0" fillId="0" borderId="0" xfId="0" applyFont="1" applyAlignment="1">
      <alignment horizontal="center"/>
    </xf>
    <xf numFmtId="0" fontId="23" fillId="0" borderId="29" xfId="0" applyFont="1" applyBorder="1" applyAlignment="1">
      <alignment horizontal="center" wrapText="1"/>
    </xf>
    <xf numFmtId="0" fontId="23" fillId="0" borderId="16" xfId="0" applyFont="1" applyBorder="1" applyAlignment="1">
      <alignment horizontal="center" wrapText="1"/>
    </xf>
    <xf numFmtId="0" fontId="20" fillId="0" borderId="0" xfId="0" applyFont="1" applyAlignment="1">
      <alignment horizontal="center"/>
    </xf>
    <xf numFmtId="41" fontId="3" fillId="0" borderId="0" xfId="62" applyNumberFormat="1" applyFont="1" applyBorder="1" applyAlignment="1">
      <alignment/>
    </xf>
    <xf numFmtId="41" fontId="0" fillId="0" borderId="37" xfId="42" applyNumberFormat="1" applyBorder="1" applyAlignment="1">
      <alignment/>
    </xf>
    <xf numFmtId="41" fontId="0" fillId="0" borderId="14" xfId="42" applyNumberFormat="1" applyBorder="1" applyAlignment="1">
      <alignment/>
    </xf>
    <xf numFmtId="41" fontId="16" fillId="0" borderId="0" xfId="42" applyNumberFormat="1" applyFont="1" applyBorder="1" applyAlignment="1">
      <alignment/>
    </xf>
    <xf numFmtId="41" fontId="0" fillId="0" borderId="22" xfId="42" applyNumberFormat="1" applyBorder="1" applyAlignment="1">
      <alignment/>
    </xf>
    <xf numFmtId="41" fontId="0" fillId="0" borderId="33" xfId="42" applyNumberFormat="1" applyBorder="1" applyAlignment="1">
      <alignment/>
    </xf>
    <xf numFmtId="41" fontId="3" fillId="0" borderId="11" xfId="42" applyNumberFormat="1" applyFont="1" applyBorder="1" applyAlignment="1">
      <alignment/>
    </xf>
    <xf numFmtId="41" fontId="4" fillId="0" borderId="14" xfId="42" applyNumberFormat="1" applyFont="1" applyBorder="1" applyAlignment="1">
      <alignment/>
    </xf>
    <xf numFmtId="41" fontId="0" fillId="0" borderId="23" xfId="42" applyNumberFormat="1" applyFont="1" applyBorder="1" applyAlignment="1">
      <alignment/>
    </xf>
    <xf numFmtId="41" fontId="0" fillId="0" borderId="10" xfId="42" applyNumberFormat="1" applyBorder="1" applyAlignment="1">
      <alignment/>
    </xf>
    <xf numFmtId="0" fontId="4" fillId="0" borderId="38" xfId="0" applyFont="1" applyBorder="1" applyAlignment="1">
      <alignment horizontal="center" wrapText="1"/>
    </xf>
    <xf numFmtId="41" fontId="0" fillId="0" borderId="10" xfId="0" applyNumberFormat="1" applyBorder="1" applyAlignment="1">
      <alignment/>
    </xf>
    <xf numFmtId="41" fontId="0" fillId="0" borderId="0" xfId="42" applyNumberFormat="1" applyFont="1" applyBorder="1" applyAlignment="1">
      <alignment/>
    </xf>
    <xf numFmtId="0" fontId="1" fillId="0" borderId="0" xfId="0" applyFont="1" applyAlignment="1">
      <alignment horizontal="left"/>
    </xf>
    <xf numFmtId="41" fontId="0" fillId="0" borderId="10" xfId="42" applyNumberFormat="1" applyFont="1" applyBorder="1" applyAlignment="1">
      <alignment/>
    </xf>
    <xf numFmtId="0" fontId="25" fillId="0" borderId="0" xfId="0" applyFont="1" applyAlignment="1">
      <alignment/>
    </xf>
    <xf numFmtId="0" fontId="0" fillId="0" borderId="11" xfId="0" applyFont="1" applyBorder="1" applyAlignment="1">
      <alignment horizontal="center"/>
    </xf>
    <xf numFmtId="0" fontId="26" fillId="0" borderId="11" xfId="0" applyFont="1" applyBorder="1" applyAlignment="1">
      <alignment horizontal="center"/>
    </xf>
    <xf numFmtId="0" fontId="1" fillId="0" borderId="11" xfId="0" applyFont="1" applyBorder="1" applyAlignment="1">
      <alignment horizontal="center"/>
    </xf>
    <xf numFmtId="0" fontId="0" fillId="0" borderId="14" xfId="0" applyFont="1" applyBorder="1" applyAlignment="1">
      <alignment horizontal="center"/>
    </xf>
    <xf numFmtId="0" fontId="0" fillId="0" borderId="0" xfId="0" applyFont="1" applyFill="1" applyBorder="1" applyAlignment="1">
      <alignment horizontal="center"/>
    </xf>
    <xf numFmtId="0" fontId="27" fillId="0" borderId="0" xfId="0" applyFont="1" applyAlignment="1">
      <alignment/>
    </xf>
    <xf numFmtId="0" fontId="0" fillId="0" borderId="0" xfId="0" applyFont="1" applyAlignment="1">
      <alignment/>
    </xf>
    <xf numFmtId="42" fontId="0" fillId="0" borderId="0" xfId="0" applyNumberFormat="1" applyAlignment="1">
      <alignment/>
    </xf>
    <xf numFmtId="177" fontId="0" fillId="0" borderId="0" xfId="0" applyNumberFormat="1" applyAlignment="1">
      <alignment/>
    </xf>
    <xf numFmtId="42" fontId="0" fillId="0" borderId="11" xfId="0" applyNumberFormat="1" applyBorder="1" applyAlignment="1">
      <alignment/>
    </xf>
    <xf numFmtId="41" fontId="0" fillId="0" borderId="36" xfId="0" applyNumberFormat="1" applyBorder="1" applyAlignment="1">
      <alignment/>
    </xf>
    <xf numFmtId="42" fontId="1" fillId="0" borderId="14" xfId="0" applyNumberFormat="1" applyFont="1" applyBorder="1" applyAlignment="1">
      <alignment/>
    </xf>
    <xf numFmtId="42" fontId="1" fillId="0" borderId="0" xfId="0" applyNumberFormat="1" applyFont="1" applyBorder="1" applyAlignment="1">
      <alignment/>
    </xf>
    <xf numFmtId="42" fontId="1" fillId="0" borderId="36" xfId="0" applyNumberFormat="1" applyFont="1" applyBorder="1" applyAlignment="1">
      <alignment/>
    </xf>
    <xf numFmtId="42" fontId="0" fillId="0" borderId="0" xfId="0" applyNumberFormat="1" applyBorder="1" applyAlignment="1">
      <alignment/>
    </xf>
    <xf numFmtId="42" fontId="1" fillId="0" borderId="39" xfId="0" applyNumberFormat="1" applyFont="1" applyBorder="1" applyAlignment="1">
      <alignment/>
    </xf>
    <xf numFmtId="44" fontId="0" fillId="0" borderId="0" xfId="0" applyNumberFormat="1" applyAlignment="1">
      <alignment/>
    </xf>
    <xf numFmtId="0" fontId="28" fillId="0" borderId="0" xfId="0" applyFont="1" applyAlignment="1">
      <alignment/>
    </xf>
    <xf numFmtId="0" fontId="26" fillId="0" borderId="0" xfId="0" applyFont="1" applyAlignment="1">
      <alignment/>
    </xf>
    <xf numFmtId="0" fontId="28" fillId="0" borderId="0" xfId="0" applyFont="1" applyFill="1" applyBorder="1" applyAlignment="1">
      <alignment/>
    </xf>
    <xf numFmtId="0" fontId="20" fillId="0" borderId="0" xfId="0" applyFont="1" applyFill="1" applyBorder="1" applyAlignment="1">
      <alignment/>
    </xf>
    <xf numFmtId="0" fontId="27" fillId="0" borderId="0" xfId="0" applyFont="1" applyFill="1" applyBorder="1" applyAlignment="1">
      <alignment/>
    </xf>
    <xf numFmtId="41" fontId="0" fillId="0" borderId="0" xfId="42" applyNumberFormat="1" applyFont="1" applyFill="1" applyBorder="1" applyAlignment="1">
      <alignment/>
    </xf>
    <xf numFmtId="41" fontId="22" fillId="33" borderId="0" xfId="0" applyNumberFormat="1" applyFont="1" applyFill="1" applyBorder="1" applyAlignment="1">
      <alignment/>
    </xf>
    <xf numFmtId="41" fontId="22" fillId="33" borderId="0" xfId="42" applyNumberFormat="1" applyFont="1" applyFill="1" applyBorder="1" applyAlignment="1">
      <alignment/>
    </xf>
    <xf numFmtId="0" fontId="27" fillId="0" borderId="0" xfId="0" applyFont="1" applyAlignment="1">
      <alignment horizontal="center"/>
    </xf>
    <xf numFmtId="0" fontId="4" fillId="0" borderId="40" xfId="0" applyFont="1" applyBorder="1" applyAlignment="1">
      <alignment/>
    </xf>
    <xf numFmtId="0" fontId="4" fillId="0" borderId="35" xfId="0" applyFont="1" applyBorder="1" applyAlignment="1">
      <alignment/>
    </xf>
    <xf numFmtId="14" fontId="0" fillId="0" borderId="0" xfId="0" applyNumberFormat="1" applyAlignment="1">
      <alignment/>
    </xf>
    <xf numFmtId="14" fontId="0" fillId="0" borderId="0" xfId="0" applyNumberFormat="1" applyBorder="1" applyAlignment="1">
      <alignment/>
    </xf>
    <xf numFmtId="14" fontId="19" fillId="0" borderId="0" xfId="0" applyNumberFormat="1" applyFont="1" applyAlignment="1">
      <alignment/>
    </xf>
    <xf numFmtId="14" fontId="0" fillId="0" borderId="0" xfId="0" applyNumberFormat="1" applyAlignment="1">
      <alignment horizontal="center"/>
    </xf>
    <xf numFmtId="0" fontId="4" fillId="0" borderId="31" xfId="0" applyFont="1" applyBorder="1" applyAlignment="1">
      <alignment/>
    </xf>
    <xf numFmtId="0" fontId="4" fillId="0" borderId="23" xfId="0" applyFont="1" applyBorder="1" applyAlignment="1">
      <alignment horizontal="center"/>
    </xf>
    <xf numFmtId="177" fontId="24" fillId="0" borderId="0" xfId="0" applyNumberFormat="1" applyFont="1" applyBorder="1" applyAlignment="1">
      <alignment horizontal="center"/>
    </xf>
    <xf numFmtId="0" fontId="4" fillId="0" borderId="32" xfId="0" applyFont="1" applyBorder="1" applyAlignment="1">
      <alignment/>
    </xf>
    <xf numFmtId="0" fontId="4" fillId="0" borderId="30" xfId="0" applyFont="1" applyBorder="1" applyAlignment="1">
      <alignment horizontal="center" wrapText="1"/>
    </xf>
    <xf numFmtId="0" fontId="78" fillId="0" borderId="0" xfId="0" applyFont="1" applyBorder="1" applyAlignment="1">
      <alignment/>
    </xf>
    <xf numFmtId="0" fontId="78" fillId="0" borderId="0" xfId="0" applyFont="1" applyBorder="1" applyAlignment="1">
      <alignment horizontal="center"/>
    </xf>
    <xf numFmtId="0" fontId="78" fillId="0" borderId="22" xfId="0" applyFont="1" applyBorder="1" applyAlignment="1">
      <alignment horizontal="center"/>
    </xf>
    <xf numFmtId="43" fontId="78" fillId="0" borderId="22" xfId="42" applyFont="1" applyBorder="1" applyAlignment="1">
      <alignment/>
    </xf>
    <xf numFmtId="43" fontId="78" fillId="0" borderId="0" xfId="42" applyFont="1" applyBorder="1" applyAlignment="1">
      <alignment/>
    </xf>
    <xf numFmtId="43" fontId="78" fillId="0" borderId="23" xfId="42" applyFont="1" applyBorder="1" applyAlignment="1">
      <alignment/>
    </xf>
    <xf numFmtId="9" fontId="78" fillId="0" borderId="23" xfId="62" applyFont="1" applyBorder="1" applyAlignment="1">
      <alignment/>
    </xf>
    <xf numFmtId="9" fontId="78" fillId="0" borderId="0" xfId="62" applyFont="1" applyBorder="1" applyAlignment="1">
      <alignment/>
    </xf>
    <xf numFmtId="0" fontId="78" fillId="0" borderId="26" xfId="0" applyFont="1" applyBorder="1" applyAlignment="1">
      <alignment/>
    </xf>
    <xf numFmtId="0" fontId="78" fillId="0" borderId="11" xfId="0" applyFont="1" applyBorder="1" applyAlignment="1">
      <alignment/>
    </xf>
    <xf numFmtId="0" fontId="78" fillId="0" borderId="11" xfId="0" applyFont="1" applyBorder="1" applyAlignment="1">
      <alignment horizontal="center"/>
    </xf>
    <xf numFmtId="41" fontId="79" fillId="0" borderId="11" xfId="42" applyNumberFormat="1" applyFont="1" applyBorder="1" applyAlignment="1">
      <alignment/>
    </xf>
    <xf numFmtId="9" fontId="78" fillId="0" borderId="10" xfId="62" applyFont="1" applyBorder="1" applyAlignment="1">
      <alignment/>
    </xf>
    <xf numFmtId="0" fontId="5" fillId="0" borderId="41" xfId="0" applyFont="1" applyBorder="1" applyAlignment="1">
      <alignment/>
    </xf>
    <xf numFmtId="0" fontId="80" fillId="0" borderId="22" xfId="0" applyFont="1" applyBorder="1" applyAlignment="1">
      <alignment/>
    </xf>
    <xf numFmtId="0" fontId="4" fillId="0" borderId="15" xfId="0" applyFont="1" applyBorder="1" applyAlignment="1">
      <alignment horizontal="left"/>
    </xf>
    <xf numFmtId="0" fontId="4" fillId="0" borderId="22" xfId="0" applyFont="1" applyBorder="1" applyAlignment="1">
      <alignment horizontal="center"/>
    </xf>
    <xf numFmtId="0" fontId="4" fillId="0" borderId="42" xfId="0" applyFont="1" applyBorder="1" applyAlignment="1">
      <alignment/>
    </xf>
    <xf numFmtId="0" fontId="13" fillId="0" borderId="42" xfId="0" applyFont="1" applyBorder="1" applyAlignment="1">
      <alignment horizontal="center"/>
    </xf>
    <xf numFmtId="41" fontId="4" fillId="0" borderId="22" xfId="42" applyNumberFormat="1" applyFont="1" applyBorder="1" applyAlignment="1">
      <alignment/>
    </xf>
    <xf numFmtId="0" fontId="16" fillId="0" borderId="41" xfId="0" applyFont="1" applyBorder="1" applyAlignment="1">
      <alignment horizontal="center"/>
    </xf>
    <xf numFmtId="0" fontId="8" fillId="0" borderId="0" xfId="0" applyNumberFormat="1" applyFont="1" applyAlignment="1">
      <alignment horizontal="center"/>
    </xf>
    <xf numFmtId="0" fontId="5" fillId="0" borderId="0" xfId="0" applyNumberFormat="1" applyFont="1" applyBorder="1" applyAlignment="1">
      <alignment horizontal="center" wrapText="1"/>
    </xf>
    <xf numFmtId="49" fontId="0" fillId="0" borderId="0" xfId="0" applyNumberFormat="1" applyFill="1" applyBorder="1" applyAlignment="1">
      <alignment/>
    </xf>
    <xf numFmtId="0" fontId="3" fillId="0" borderId="42" xfId="0" applyFont="1" applyBorder="1" applyAlignment="1">
      <alignment/>
    </xf>
    <xf numFmtId="0" fontId="3" fillId="0" borderId="22" xfId="0" applyFont="1" applyBorder="1" applyAlignment="1">
      <alignment horizontal="center"/>
    </xf>
    <xf numFmtId="43" fontId="3" fillId="0" borderId="42" xfId="42" applyFont="1" applyBorder="1" applyAlignment="1">
      <alignment/>
    </xf>
    <xf numFmtId="43" fontId="3" fillId="0" borderId="22" xfId="42" applyFont="1" applyBorder="1" applyAlignment="1">
      <alignment/>
    </xf>
    <xf numFmtId="9" fontId="3" fillId="0" borderId="23" xfId="62" applyFont="1" applyBorder="1" applyAlignment="1">
      <alignment/>
    </xf>
    <xf numFmtId="0" fontId="3" fillId="0" borderId="43" xfId="0" applyFont="1" applyBorder="1" applyAlignment="1">
      <alignment/>
    </xf>
    <xf numFmtId="9" fontId="3" fillId="0" borderId="10" xfId="62" applyFont="1" applyBorder="1" applyAlignment="1">
      <alignment/>
    </xf>
    <xf numFmtId="49" fontId="3" fillId="0" borderId="0" xfId="0" applyNumberFormat="1" applyFont="1" applyBorder="1" applyAlignment="1">
      <alignment horizontal="center"/>
    </xf>
    <xf numFmtId="14" fontId="3" fillId="0" borderId="0" xfId="0" applyNumberFormat="1" applyFont="1" applyBorder="1" applyAlignment="1">
      <alignment horizontal="center"/>
    </xf>
    <xf numFmtId="9" fontId="3" fillId="0" borderId="22" xfId="62" applyFont="1" applyBorder="1" applyAlignment="1">
      <alignment/>
    </xf>
    <xf numFmtId="0" fontId="3" fillId="0" borderId="26" xfId="0" applyFont="1" applyBorder="1" applyAlignment="1">
      <alignment/>
    </xf>
    <xf numFmtId="49" fontId="3" fillId="0" borderId="11" xfId="0" applyNumberFormat="1" applyFont="1" applyBorder="1" applyAlignment="1">
      <alignment horizontal="center"/>
    </xf>
    <xf numFmtId="49" fontId="3" fillId="0" borderId="11" xfId="0" applyNumberFormat="1" applyFont="1" applyBorder="1" applyAlignment="1" quotePrefix="1">
      <alignment horizontal="center"/>
    </xf>
    <xf numFmtId="0" fontId="3" fillId="0" borderId="11" xfId="0" applyFont="1" applyBorder="1" applyAlignment="1">
      <alignment horizontal="center"/>
    </xf>
    <xf numFmtId="14" fontId="3" fillId="0" borderId="11" xfId="0" applyNumberFormat="1" applyFont="1" applyBorder="1" applyAlignment="1">
      <alignment horizontal="center"/>
    </xf>
    <xf numFmtId="43" fontId="3" fillId="0" borderId="23" xfId="42" applyFont="1" applyBorder="1" applyAlignment="1">
      <alignment/>
    </xf>
    <xf numFmtId="43" fontId="0" fillId="0" borderId="26" xfId="42" applyFont="1" applyFill="1" applyBorder="1" applyAlignment="1">
      <alignment/>
    </xf>
    <xf numFmtId="43" fontId="0" fillId="0" borderId="11" xfId="42" applyFont="1" applyFill="1" applyBorder="1" applyAlignment="1">
      <alignment/>
    </xf>
    <xf numFmtId="49" fontId="3" fillId="0" borderId="22" xfId="0" applyNumberFormat="1" applyFont="1" applyBorder="1" applyAlignment="1">
      <alignment horizontal="center"/>
    </xf>
    <xf numFmtId="49" fontId="3" fillId="0" borderId="22" xfId="0" applyNumberFormat="1" applyFont="1" applyBorder="1" applyAlignment="1">
      <alignment/>
    </xf>
    <xf numFmtId="49" fontId="3" fillId="0" borderId="26" xfId="0" applyNumberFormat="1" applyFont="1" applyBorder="1" applyAlignment="1">
      <alignment/>
    </xf>
    <xf numFmtId="0" fontId="4" fillId="0" borderId="29" xfId="0" applyFont="1" applyBorder="1" applyAlignment="1">
      <alignment/>
    </xf>
    <xf numFmtId="0" fontId="23" fillId="0" borderId="44" xfId="0" applyFont="1" applyBorder="1" applyAlignment="1">
      <alignment horizontal="center" wrapText="1"/>
    </xf>
    <xf numFmtId="177" fontId="79" fillId="0" borderId="11" xfId="42" applyNumberFormat="1" applyFont="1" applyBorder="1" applyAlignment="1">
      <alignment/>
    </xf>
    <xf numFmtId="177" fontId="3" fillId="0" borderId="0" xfId="42" applyNumberFormat="1" applyFont="1" applyBorder="1" applyAlignment="1">
      <alignment/>
    </xf>
    <xf numFmtId="0" fontId="1" fillId="0" borderId="0" xfId="0" applyFont="1" applyAlignment="1">
      <alignment horizontal="center"/>
    </xf>
    <xf numFmtId="0" fontId="32" fillId="0" borderId="0" xfId="0" applyFont="1" applyAlignment="1">
      <alignment/>
    </xf>
    <xf numFmtId="0" fontId="33" fillId="0" borderId="0" xfId="0" applyFont="1" applyAlignment="1">
      <alignment/>
    </xf>
    <xf numFmtId="0" fontId="34" fillId="0" borderId="0" xfId="0" applyFont="1" applyAlignment="1">
      <alignment/>
    </xf>
    <xf numFmtId="49" fontId="4" fillId="0" borderId="30" xfId="0" applyNumberFormat="1" applyFont="1" applyBorder="1" applyAlignment="1">
      <alignment horizontal="center" wrapText="1"/>
    </xf>
    <xf numFmtId="0" fontId="5" fillId="0" borderId="22"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41" fontId="0" fillId="0" borderId="42" xfId="0" applyNumberFormat="1" applyFill="1" applyBorder="1" applyAlignment="1" applyProtection="1">
      <alignment horizontal="center"/>
      <protection/>
    </xf>
    <xf numFmtId="41" fontId="0" fillId="0" borderId="43" xfId="0" applyNumberFormat="1" applyFill="1" applyBorder="1" applyAlignment="1" applyProtection="1">
      <alignment horizontal="center"/>
      <protection/>
    </xf>
    <xf numFmtId="0" fontId="4" fillId="0" borderId="0" xfId="0" applyFont="1" applyAlignment="1" applyProtection="1">
      <alignment/>
      <protection locked="0"/>
    </xf>
    <xf numFmtId="0" fontId="8" fillId="0" borderId="0" xfId="0" applyFont="1" applyAlignment="1" applyProtection="1">
      <alignment horizontal="center"/>
      <protection locked="0"/>
    </xf>
    <xf numFmtId="0" fontId="26" fillId="0" borderId="0" xfId="0" applyFont="1" applyAlignment="1">
      <alignment horizontal="center"/>
    </xf>
    <xf numFmtId="0" fontId="19" fillId="0" borderId="45" xfId="0" applyFont="1" applyBorder="1" applyAlignment="1">
      <alignment/>
    </xf>
    <xf numFmtId="49" fontId="0" fillId="0" borderId="17" xfId="0" applyNumberFormat="1" applyBorder="1" applyAlignment="1">
      <alignment horizontal="center" wrapText="1"/>
    </xf>
    <xf numFmtId="41" fontId="3" fillId="0" borderId="22" xfId="0" applyNumberFormat="1" applyFont="1" applyBorder="1" applyAlignment="1">
      <alignment horizontal="center"/>
    </xf>
    <xf numFmtId="41" fontId="3" fillId="0" borderId="26" xfId="0" applyNumberFormat="1" applyFont="1" applyBorder="1" applyAlignment="1">
      <alignment horizontal="center"/>
    </xf>
    <xf numFmtId="41" fontId="3" fillId="0" borderId="22" xfId="0" applyNumberFormat="1" applyFont="1" applyBorder="1" applyAlignment="1">
      <alignment/>
    </xf>
    <xf numFmtId="41" fontId="3" fillId="0" borderId="31" xfId="0" applyNumberFormat="1" applyFont="1" applyBorder="1" applyAlignment="1">
      <alignment/>
    </xf>
    <xf numFmtId="41" fontId="3" fillId="0" borderId="32" xfId="0" applyNumberFormat="1" applyFont="1" applyBorder="1" applyAlignment="1">
      <alignment/>
    </xf>
    <xf numFmtId="41" fontId="3" fillId="0" borderId="23" xfId="0" applyNumberFormat="1" applyFont="1" applyBorder="1" applyAlignment="1">
      <alignment/>
    </xf>
    <xf numFmtId="41" fontId="3" fillId="0" borderId="10" xfId="0" applyNumberFormat="1" applyFont="1" applyBorder="1" applyAlignment="1">
      <alignment/>
    </xf>
    <xf numFmtId="41" fontId="78" fillId="0" borderId="11" xfId="42" applyNumberFormat="1" applyFont="1" applyBorder="1" applyAlignment="1">
      <alignment/>
    </xf>
    <xf numFmtId="41" fontId="78" fillId="0" borderId="10" xfId="42" applyNumberFormat="1" applyFont="1" applyBorder="1" applyAlignment="1">
      <alignment/>
    </xf>
    <xf numFmtId="41" fontId="78" fillId="0" borderId="26" xfId="42" applyNumberFormat="1" applyFont="1" applyBorder="1" applyAlignment="1">
      <alignment/>
    </xf>
    <xf numFmtId="41" fontId="3" fillId="0" borderId="42" xfId="42" applyNumberFormat="1" applyFont="1" applyBorder="1" applyAlignment="1">
      <alignment/>
    </xf>
    <xf numFmtId="41" fontId="3" fillId="0" borderId="43" xfId="42" applyNumberFormat="1" applyFont="1" applyBorder="1" applyAlignment="1">
      <alignment/>
    </xf>
    <xf numFmtId="41" fontId="3" fillId="0" borderId="22" xfId="42" applyNumberFormat="1" applyFont="1" applyBorder="1" applyAlignment="1">
      <alignment/>
    </xf>
    <xf numFmtId="41" fontId="3" fillId="0" borderId="26" xfId="42" applyNumberFormat="1" applyFont="1" applyBorder="1" applyAlignment="1">
      <alignment/>
    </xf>
    <xf numFmtId="41" fontId="3" fillId="0" borderId="23" xfId="42" applyNumberFormat="1" applyFont="1" applyBorder="1" applyAlignment="1">
      <alignment/>
    </xf>
    <xf numFmtId="41" fontId="0" fillId="0" borderId="11" xfId="42" applyNumberFormat="1" applyFont="1" applyFill="1" applyBorder="1" applyAlignment="1">
      <alignment/>
    </xf>
    <xf numFmtId="41" fontId="30" fillId="0" borderId="11" xfId="42" applyNumberFormat="1" applyFont="1" applyFill="1" applyBorder="1" applyAlignment="1">
      <alignment/>
    </xf>
    <xf numFmtId="41" fontId="3" fillId="0" borderId="10" xfId="42" applyNumberFormat="1" applyFont="1" applyBorder="1" applyAlignment="1">
      <alignment/>
    </xf>
    <xf numFmtId="41" fontId="3" fillId="0" borderId="33" xfId="42" applyNumberFormat="1" applyFont="1" applyBorder="1" applyAlignment="1">
      <alignment/>
    </xf>
    <xf numFmtId="41" fontId="4" fillId="0" borderId="22" xfId="0" applyNumberFormat="1" applyFont="1" applyBorder="1" applyAlignment="1">
      <alignment/>
    </xf>
    <xf numFmtId="41" fontId="0" fillId="0" borderId="22" xfId="0" applyNumberFormat="1" applyFont="1" applyBorder="1" applyAlignment="1">
      <alignment/>
    </xf>
    <xf numFmtId="41" fontId="0" fillId="0" borderId="0" xfId="0" applyNumberFormat="1" applyFont="1" applyBorder="1" applyAlignment="1">
      <alignment/>
    </xf>
    <xf numFmtId="41" fontId="3" fillId="0" borderId="24" xfId="42" applyNumberFormat="1" applyFont="1" applyBorder="1" applyAlignment="1">
      <alignment/>
    </xf>
    <xf numFmtId="41" fontId="3" fillId="0" borderId="36" xfId="42" applyNumberFormat="1" applyFont="1" applyBorder="1" applyAlignment="1">
      <alignment/>
    </xf>
    <xf numFmtId="41" fontId="0" fillId="0" borderId="22" xfId="42" applyNumberFormat="1" applyFont="1" applyBorder="1" applyAlignment="1">
      <alignment/>
    </xf>
    <xf numFmtId="41" fontId="0" fillId="0" borderId="23" xfId="0" applyNumberFormat="1" applyFont="1" applyBorder="1" applyAlignment="1">
      <alignment/>
    </xf>
    <xf numFmtId="41" fontId="4" fillId="0" borderId="23" xfId="42" applyNumberFormat="1" applyFont="1" applyBorder="1" applyAlignment="1">
      <alignment/>
    </xf>
    <xf numFmtId="41" fontId="0" fillId="0" borderId="26" xfId="0" applyNumberFormat="1" applyFont="1" applyBorder="1" applyAlignment="1">
      <alignment/>
    </xf>
    <xf numFmtId="41" fontId="0" fillId="0" borderId="10" xfId="0" applyNumberFormat="1" applyFont="1" applyBorder="1" applyAlignment="1">
      <alignment/>
    </xf>
    <xf numFmtId="41" fontId="0" fillId="0" borderId="26" xfId="42" applyNumberFormat="1" applyBorder="1" applyAlignment="1">
      <alignment/>
    </xf>
    <xf numFmtId="41" fontId="0" fillId="0" borderId="11" xfId="42" applyNumberFormat="1" applyBorder="1" applyAlignment="1">
      <alignment/>
    </xf>
    <xf numFmtId="0" fontId="0" fillId="0" borderId="19" xfId="0" applyFont="1" applyFill="1" applyBorder="1" applyAlignment="1" applyProtection="1">
      <alignment horizontal="left"/>
      <protection/>
    </xf>
    <xf numFmtId="0" fontId="0" fillId="0" borderId="22" xfId="0" applyFont="1" applyFill="1" applyBorder="1" applyAlignment="1" applyProtection="1">
      <alignment horizontal="left"/>
      <protection/>
    </xf>
    <xf numFmtId="0" fontId="0" fillId="0" borderId="22" xfId="0" applyFont="1" applyFill="1" applyBorder="1" applyAlignment="1" applyProtection="1">
      <alignment/>
      <protection/>
    </xf>
    <xf numFmtId="0" fontId="0" fillId="0" borderId="26" xfId="0" applyFill="1" applyBorder="1" applyAlignment="1" applyProtection="1">
      <alignment/>
      <protection/>
    </xf>
    <xf numFmtId="0" fontId="11" fillId="0" borderId="0" xfId="0" applyFont="1" applyAlignment="1">
      <alignment horizontal="center"/>
    </xf>
    <xf numFmtId="0" fontId="0" fillId="0" borderId="11" xfId="0" applyNumberFormat="1" applyFill="1" applyBorder="1" applyAlignment="1">
      <alignment/>
    </xf>
    <xf numFmtId="14" fontId="0" fillId="0" borderId="11" xfId="0" applyNumberFormat="1" applyFill="1" applyBorder="1" applyAlignment="1">
      <alignment/>
    </xf>
    <xf numFmtId="0" fontId="0" fillId="0" borderId="0" xfId="0" applyNumberFormat="1" applyFill="1" applyBorder="1" applyAlignment="1">
      <alignment/>
    </xf>
    <xf numFmtId="0" fontId="0" fillId="0" borderId="11" xfId="0" applyNumberFormat="1" applyFill="1" applyBorder="1" applyAlignment="1">
      <alignment horizontal="left"/>
    </xf>
    <xf numFmtId="14" fontId="0" fillId="0" borderId="11" xfId="0" applyNumberFormat="1" applyFont="1" applyFill="1" applyBorder="1" applyAlignment="1">
      <alignment/>
    </xf>
    <xf numFmtId="0" fontId="0" fillId="0" borderId="11" xfId="0" applyFill="1" applyBorder="1" applyAlignment="1">
      <alignment/>
    </xf>
    <xf numFmtId="0" fontId="28" fillId="0" borderId="11" xfId="0" applyFont="1" applyFill="1" applyBorder="1" applyAlignment="1">
      <alignment/>
    </xf>
    <xf numFmtId="0" fontId="20" fillId="0" borderId="11" xfId="0" applyFont="1" applyFill="1" applyBorder="1" applyAlignment="1">
      <alignment/>
    </xf>
    <xf numFmtId="0" fontId="27" fillId="0" borderId="11" xfId="0" applyFont="1" applyFill="1" applyBorder="1" applyAlignment="1">
      <alignment/>
    </xf>
    <xf numFmtId="14" fontId="0" fillId="0" borderId="0" xfId="0" applyNumberFormat="1" applyFont="1" applyFill="1" applyBorder="1" applyAlignment="1">
      <alignment/>
    </xf>
    <xf numFmtId="0" fontId="0" fillId="0" borderId="0" xfId="0" applyFill="1" applyBorder="1" applyAlignment="1">
      <alignment/>
    </xf>
    <xf numFmtId="41" fontId="4" fillId="0" borderId="11" xfId="42" applyNumberFormat="1" applyFont="1" applyBorder="1" applyAlignment="1">
      <alignment/>
    </xf>
    <xf numFmtId="41" fontId="3" fillId="0" borderId="14" xfId="42" applyNumberFormat="1" applyFont="1" applyFill="1" applyBorder="1" applyAlignment="1">
      <alignment/>
    </xf>
    <xf numFmtId="0" fontId="8" fillId="0" borderId="0" xfId="0" applyFont="1" applyAlignment="1">
      <alignment/>
    </xf>
    <xf numFmtId="14" fontId="0" fillId="0" borderId="0" xfId="0" applyNumberFormat="1" applyFill="1" applyBorder="1" applyAlignment="1">
      <alignment/>
    </xf>
    <xf numFmtId="0" fontId="8" fillId="0" borderId="0" xfId="0" applyFont="1" applyBorder="1" applyAlignment="1">
      <alignment horizontal="center"/>
    </xf>
    <xf numFmtId="0" fontId="0" fillId="0" borderId="0" xfId="0" applyFont="1" applyBorder="1" applyAlignment="1">
      <alignment/>
    </xf>
    <xf numFmtId="0" fontId="8" fillId="0" borderId="0" xfId="0" applyFont="1" applyAlignment="1">
      <alignment horizontal="left"/>
    </xf>
    <xf numFmtId="14" fontId="0" fillId="0" borderId="11" xfId="0" applyNumberFormat="1" applyFill="1" applyBorder="1" applyAlignment="1">
      <alignment horizontal="left"/>
    </xf>
    <xf numFmtId="14" fontId="0" fillId="0" borderId="11" xfId="0" applyNumberFormat="1" applyFont="1" applyFill="1" applyBorder="1" applyAlignment="1">
      <alignment horizontal="left"/>
    </xf>
    <xf numFmtId="49" fontId="3" fillId="0" borderId="26" xfId="0" applyNumberFormat="1" applyFont="1" applyBorder="1" applyAlignment="1">
      <alignment horizontal="center"/>
    </xf>
    <xf numFmtId="49" fontId="78" fillId="0" borderId="26" xfId="0" applyNumberFormat="1" applyFont="1" applyBorder="1" applyAlignment="1">
      <alignment horizontal="center"/>
    </xf>
    <xf numFmtId="0" fontId="19" fillId="0" borderId="11" xfId="0" applyFont="1" applyBorder="1" applyAlignment="1">
      <alignment horizontal="center"/>
    </xf>
    <xf numFmtId="0" fontId="0" fillId="0" borderId="11" xfId="0" applyBorder="1" applyAlignment="1">
      <alignment/>
    </xf>
    <xf numFmtId="0" fontId="0" fillId="0" borderId="11" xfId="0" applyNumberFormat="1" applyFont="1" applyFill="1" applyBorder="1" applyAlignment="1">
      <alignment horizontal="left"/>
    </xf>
    <xf numFmtId="0" fontId="0" fillId="0" borderId="11" xfId="0" applyFill="1" applyBorder="1" applyAlignment="1">
      <alignment horizontal="left"/>
    </xf>
    <xf numFmtId="0" fontId="19" fillId="0" borderId="0" xfId="0" applyFont="1" applyAlignment="1">
      <alignment horizontal="right"/>
    </xf>
    <xf numFmtId="0" fontId="19" fillId="0" borderId="0" xfId="0" applyFont="1" applyAlignment="1">
      <alignment/>
    </xf>
    <xf numFmtId="14" fontId="19" fillId="0" borderId="0" xfId="0" applyNumberFormat="1" applyFont="1" applyAlignment="1">
      <alignment horizontal="right"/>
    </xf>
    <xf numFmtId="0" fontId="4" fillId="0" borderId="16" xfId="0" applyFont="1" applyBorder="1" applyAlignment="1" applyProtection="1">
      <alignment horizontal="center" wrapText="1"/>
      <protection/>
    </xf>
    <xf numFmtId="0" fontId="31" fillId="0" borderId="11" xfId="0" applyFont="1" applyFill="1" applyBorder="1" applyAlignment="1">
      <alignment horizontal="left"/>
    </xf>
    <xf numFmtId="0" fontId="0" fillId="34" borderId="11" xfId="0" applyNumberFormat="1" applyFont="1" applyFill="1" applyBorder="1" applyAlignment="1" applyProtection="1">
      <alignment/>
      <protection locked="0"/>
    </xf>
    <xf numFmtId="14" fontId="0" fillId="34" borderId="11" xfId="0" applyNumberFormat="1" applyFont="1" applyFill="1" applyBorder="1" applyAlignment="1" applyProtection="1">
      <alignment/>
      <protection locked="0"/>
    </xf>
    <xf numFmtId="0" fontId="8" fillId="34" borderId="0" xfId="0" applyFont="1" applyFill="1" applyAlignment="1">
      <alignment horizontal="center"/>
    </xf>
    <xf numFmtId="0" fontId="0" fillId="34" borderId="22" xfId="0" applyFont="1" applyFill="1" applyBorder="1" applyAlignment="1" applyProtection="1">
      <alignment/>
      <protection locked="0"/>
    </xf>
    <xf numFmtId="0" fontId="0" fillId="34" borderId="0" xfId="0" applyFont="1" applyFill="1" applyBorder="1" applyAlignment="1" applyProtection="1">
      <alignment/>
      <protection locked="0"/>
    </xf>
    <xf numFmtId="0" fontId="0" fillId="34" borderId="0" xfId="0" applyFill="1" applyBorder="1" applyAlignment="1" applyProtection="1">
      <alignment horizontal="center"/>
      <protection locked="0"/>
    </xf>
    <xf numFmtId="0" fontId="0" fillId="34" borderId="22" xfId="0" applyFill="1" applyBorder="1" applyAlignment="1" applyProtection="1">
      <alignment horizontal="center"/>
      <protection locked="0"/>
    </xf>
    <xf numFmtId="41" fontId="0" fillId="34" borderId="22" xfId="42" applyNumberFormat="1" applyFont="1" applyFill="1" applyBorder="1" applyAlignment="1" applyProtection="1">
      <alignment/>
      <protection locked="0"/>
    </xf>
    <xf numFmtId="9" fontId="4" fillId="34" borderId="0" xfId="42" applyNumberFormat="1" applyFont="1" applyFill="1" applyBorder="1" applyAlignment="1" applyProtection="1">
      <alignment/>
      <protection locked="0"/>
    </xf>
    <xf numFmtId="0" fontId="0" fillId="34" borderId="22" xfId="0" applyFill="1" applyBorder="1" applyAlignment="1" applyProtection="1">
      <alignment/>
      <protection locked="0"/>
    </xf>
    <xf numFmtId="0" fontId="0" fillId="34" borderId="0" xfId="0" applyFill="1" applyBorder="1" applyAlignment="1" applyProtection="1">
      <alignment/>
      <protection locked="0"/>
    </xf>
    <xf numFmtId="0" fontId="0" fillId="34" borderId="26" xfId="0" applyFill="1" applyBorder="1" applyAlignment="1" applyProtection="1">
      <alignment/>
      <protection locked="0"/>
    </xf>
    <xf numFmtId="0" fontId="0" fillId="34" borderId="11" xfId="0" applyFill="1" applyBorder="1" applyAlignment="1" applyProtection="1">
      <alignment/>
      <protection locked="0"/>
    </xf>
    <xf numFmtId="0" fontId="0" fillId="34" borderId="11" xfId="0" applyFill="1" applyBorder="1" applyAlignment="1" applyProtection="1">
      <alignment horizontal="center"/>
      <protection locked="0"/>
    </xf>
    <xf numFmtId="0" fontId="0" fillId="34" borderId="26" xfId="0" applyFill="1" applyBorder="1" applyAlignment="1" applyProtection="1">
      <alignment horizontal="center"/>
      <protection locked="0"/>
    </xf>
    <xf numFmtId="177" fontId="0" fillId="34" borderId="0" xfId="42" applyNumberFormat="1" applyFont="1" applyFill="1" applyBorder="1" applyAlignment="1" applyProtection="1">
      <alignment/>
      <protection locked="0"/>
    </xf>
    <xf numFmtId="9" fontId="0" fillId="34" borderId="23" xfId="62" applyFont="1" applyFill="1" applyBorder="1" applyAlignment="1" applyProtection="1">
      <alignment/>
      <protection locked="0"/>
    </xf>
    <xf numFmtId="9" fontId="0" fillId="34" borderId="10" xfId="62" applyFont="1" applyFill="1" applyBorder="1" applyAlignment="1" applyProtection="1">
      <alignment/>
      <protection locked="0"/>
    </xf>
    <xf numFmtId="0" fontId="0" fillId="34" borderId="42" xfId="0" applyFont="1" applyFill="1" applyBorder="1" applyAlignment="1" applyProtection="1">
      <alignment/>
      <protection locked="0"/>
    </xf>
    <xf numFmtId="41" fontId="0" fillId="34" borderId="42" xfId="42" applyNumberFormat="1" applyFill="1" applyBorder="1" applyAlignment="1" applyProtection="1">
      <alignment/>
      <protection locked="0"/>
    </xf>
    <xf numFmtId="0" fontId="0" fillId="34" borderId="42" xfId="0" applyFill="1" applyBorder="1" applyAlignment="1" applyProtection="1">
      <alignment/>
      <protection locked="0"/>
    </xf>
    <xf numFmtId="0" fontId="0" fillId="34" borderId="42" xfId="59" applyFill="1" applyBorder="1" applyProtection="1">
      <alignment/>
      <protection locked="0"/>
    </xf>
    <xf numFmtId="0" fontId="29" fillId="34" borderId="42" xfId="59" applyFont="1" applyFill="1" applyBorder="1" applyAlignment="1" applyProtection="1">
      <alignment/>
      <protection locked="0"/>
    </xf>
    <xf numFmtId="41" fontId="0" fillId="34" borderId="42" xfId="42" applyNumberFormat="1" applyFont="1" applyFill="1" applyBorder="1" applyAlignment="1" applyProtection="1">
      <alignment/>
      <protection locked="0"/>
    </xf>
    <xf numFmtId="0" fontId="0" fillId="34" borderId="43" xfId="0" applyFill="1" applyBorder="1" applyAlignment="1" applyProtection="1">
      <alignment/>
      <protection locked="0"/>
    </xf>
    <xf numFmtId="9" fontId="0" fillId="34" borderId="23" xfId="62" applyFill="1" applyBorder="1" applyAlignment="1" applyProtection="1">
      <alignment/>
      <protection locked="0"/>
    </xf>
    <xf numFmtId="9" fontId="0" fillId="34" borderId="23" xfId="62" applyFont="1" applyFill="1" applyBorder="1" applyAlignment="1" applyProtection="1">
      <alignment/>
      <protection locked="0"/>
    </xf>
    <xf numFmtId="9" fontId="0" fillId="34" borderId="10" xfId="62" applyFill="1" applyBorder="1" applyAlignment="1" applyProtection="1">
      <alignment/>
      <protection locked="0"/>
    </xf>
    <xf numFmtId="9" fontId="0" fillId="34" borderId="21" xfId="62" applyFill="1" applyBorder="1" applyAlignment="1" applyProtection="1">
      <alignment/>
      <protection locked="0"/>
    </xf>
    <xf numFmtId="49" fontId="0" fillId="34" borderId="0" xfId="0" applyNumberFormat="1" applyFill="1" applyBorder="1" applyAlignment="1" applyProtection="1">
      <alignment horizontal="center"/>
      <protection locked="0"/>
    </xf>
    <xf numFmtId="14" fontId="0" fillId="34" borderId="0" xfId="0" applyNumberFormat="1" applyFill="1" applyBorder="1" applyAlignment="1" applyProtection="1">
      <alignment horizontal="center"/>
      <protection locked="0"/>
    </xf>
    <xf numFmtId="0" fontId="0" fillId="34" borderId="22" xfId="0" applyFill="1" applyBorder="1" applyAlignment="1" applyProtection="1" quotePrefix="1">
      <alignment horizontal="center"/>
      <protection locked="0"/>
    </xf>
    <xf numFmtId="41" fontId="0" fillId="34" borderId="22" xfId="42" applyNumberFormat="1" applyFill="1" applyBorder="1" applyAlignment="1" applyProtection="1">
      <alignment/>
      <protection locked="0"/>
    </xf>
    <xf numFmtId="41" fontId="0" fillId="34" borderId="0" xfId="42" applyNumberFormat="1" applyFill="1" applyBorder="1" applyAlignment="1" applyProtection="1">
      <alignment/>
      <protection locked="0"/>
    </xf>
    <xf numFmtId="43" fontId="0" fillId="34" borderId="0" xfId="42" applyFill="1" applyBorder="1" applyAlignment="1" applyProtection="1">
      <alignment/>
      <protection locked="0"/>
    </xf>
    <xf numFmtId="49" fontId="0" fillId="34" borderId="0" xfId="0" applyNumberFormat="1" applyFill="1" applyBorder="1" applyAlignment="1" applyProtection="1" quotePrefix="1">
      <alignment horizontal="center"/>
      <protection locked="0"/>
    </xf>
    <xf numFmtId="41" fontId="0" fillId="34" borderId="0" xfId="42" applyNumberFormat="1" applyFont="1" applyFill="1" applyBorder="1" applyAlignment="1" applyProtection="1">
      <alignment/>
      <protection locked="0"/>
    </xf>
    <xf numFmtId="49" fontId="0" fillId="34" borderId="11" xfId="0" applyNumberFormat="1" applyFill="1" applyBorder="1" applyAlignment="1" applyProtection="1">
      <alignment horizontal="center"/>
      <protection locked="0"/>
    </xf>
    <xf numFmtId="14" fontId="0" fillId="34" borderId="11" xfId="0" applyNumberFormat="1" applyFill="1" applyBorder="1" applyAlignment="1" applyProtection="1">
      <alignment horizontal="center"/>
      <protection locked="0"/>
    </xf>
    <xf numFmtId="41" fontId="0" fillId="34" borderId="26" xfId="42" applyNumberFormat="1" applyFill="1" applyBorder="1" applyAlignment="1" applyProtection="1">
      <alignment/>
      <protection locked="0"/>
    </xf>
    <xf numFmtId="43" fontId="0" fillId="34" borderId="11" xfId="42" applyFill="1" applyBorder="1" applyAlignment="1" applyProtection="1">
      <alignment/>
      <protection locked="0"/>
    </xf>
    <xf numFmtId="177" fontId="0" fillId="34" borderId="0" xfId="42" applyNumberFormat="1" applyFont="1" applyFill="1" applyBorder="1" applyAlignment="1" applyProtection="1">
      <alignment/>
      <protection locked="0"/>
    </xf>
    <xf numFmtId="41" fontId="0" fillId="34" borderId="0" xfId="42" applyNumberFormat="1" applyFont="1" applyFill="1" applyBorder="1" applyAlignment="1" applyProtection="1">
      <alignment/>
      <protection locked="0"/>
    </xf>
    <xf numFmtId="49" fontId="0" fillId="34" borderId="19" xfId="0" applyNumberFormat="1" applyFont="1" applyFill="1" applyBorder="1" applyAlignment="1" applyProtection="1">
      <alignment/>
      <protection locked="0"/>
    </xf>
    <xf numFmtId="49" fontId="0" fillId="34" borderId="22" xfId="0" applyNumberFormat="1" applyFont="1" applyFill="1" applyBorder="1" applyAlignment="1" applyProtection="1">
      <alignment/>
      <protection locked="0"/>
    </xf>
    <xf numFmtId="49" fontId="0" fillId="34" borderId="26" xfId="0" applyNumberFormat="1" applyFont="1" applyFill="1" applyBorder="1" applyAlignment="1" applyProtection="1">
      <alignment/>
      <protection locked="0"/>
    </xf>
    <xf numFmtId="41" fontId="0" fillId="34" borderId="19" xfId="0" applyNumberFormat="1" applyFill="1" applyBorder="1" applyAlignment="1" applyProtection="1">
      <alignment/>
      <protection locked="0"/>
    </xf>
    <xf numFmtId="41" fontId="0" fillId="34" borderId="20" xfId="0" applyNumberFormat="1" applyFill="1" applyBorder="1" applyAlignment="1" applyProtection="1">
      <alignment/>
      <protection locked="0"/>
    </xf>
    <xf numFmtId="41" fontId="0" fillId="34" borderId="46" xfId="0" applyNumberFormat="1" applyFill="1" applyBorder="1" applyAlignment="1" applyProtection="1">
      <alignment/>
      <protection locked="0"/>
    </xf>
    <xf numFmtId="41" fontId="0" fillId="34" borderId="47" xfId="0" applyNumberFormat="1" applyFill="1" applyBorder="1" applyAlignment="1" applyProtection="1">
      <alignment/>
      <protection locked="0"/>
    </xf>
    <xf numFmtId="41" fontId="0" fillId="34" borderId="21" xfId="0" applyNumberFormat="1" applyFill="1" applyBorder="1" applyAlignment="1" applyProtection="1">
      <alignment/>
      <protection locked="0"/>
    </xf>
    <xf numFmtId="41" fontId="0" fillId="34" borderId="22" xfId="0" applyNumberFormat="1" applyFill="1" applyBorder="1" applyAlignment="1" applyProtection="1">
      <alignment/>
      <protection locked="0"/>
    </xf>
    <xf numFmtId="41" fontId="0" fillId="34" borderId="0" xfId="0" applyNumberFormat="1" applyFill="1" applyBorder="1" applyAlignment="1" applyProtection="1">
      <alignment/>
      <protection locked="0"/>
    </xf>
    <xf numFmtId="41" fontId="0" fillId="34" borderId="31" xfId="0" applyNumberFormat="1" applyFill="1" applyBorder="1" applyAlignment="1" applyProtection="1">
      <alignment/>
      <protection locked="0"/>
    </xf>
    <xf numFmtId="41" fontId="0" fillId="34" borderId="32" xfId="0" applyNumberFormat="1" applyFill="1" applyBorder="1" applyAlignment="1" applyProtection="1">
      <alignment/>
      <protection locked="0"/>
    </xf>
    <xf numFmtId="41" fontId="0" fillId="34" borderId="23" xfId="0" applyNumberFormat="1" applyFill="1" applyBorder="1" applyAlignment="1" applyProtection="1">
      <alignment/>
      <protection locked="0"/>
    </xf>
    <xf numFmtId="41" fontId="0" fillId="34" borderId="26" xfId="0" applyNumberFormat="1" applyFill="1" applyBorder="1" applyAlignment="1" applyProtection="1">
      <alignment/>
      <protection locked="0"/>
    </xf>
    <xf numFmtId="41" fontId="0" fillId="34" borderId="11" xfId="0" applyNumberFormat="1" applyFill="1" applyBorder="1" applyAlignment="1" applyProtection="1">
      <alignment/>
      <protection locked="0"/>
    </xf>
    <xf numFmtId="41" fontId="0" fillId="34" borderId="15" xfId="0" applyNumberFormat="1" applyFill="1" applyBorder="1" applyAlignment="1" applyProtection="1">
      <alignment/>
      <protection locked="0"/>
    </xf>
    <xf numFmtId="41" fontId="0" fillId="34" borderId="16" xfId="0" applyNumberFormat="1" applyFill="1" applyBorder="1" applyAlignment="1" applyProtection="1">
      <alignment/>
      <protection locked="0"/>
    </xf>
    <xf numFmtId="41" fontId="0" fillId="34" borderId="17" xfId="0" applyNumberFormat="1" applyFill="1" applyBorder="1" applyAlignment="1" applyProtection="1">
      <alignment/>
      <protection locked="0"/>
    </xf>
    <xf numFmtId="41" fontId="0" fillId="34" borderId="10" xfId="0" applyNumberFormat="1" applyFill="1" applyBorder="1" applyAlignment="1" applyProtection="1">
      <alignment/>
      <protection locked="0"/>
    </xf>
    <xf numFmtId="41" fontId="3" fillId="34" borderId="11" xfId="42" applyNumberFormat="1" applyFont="1" applyFill="1" applyBorder="1" applyAlignment="1" applyProtection="1">
      <alignment/>
      <protection locked="0"/>
    </xf>
    <xf numFmtId="0" fontId="0" fillId="0" borderId="0" xfId="0" applyFill="1" applyAlignment="1">
      <alignment horizontal="center"/>
    </xf>
    <xf numFmtId="0" fontId="81" fillId="34" borderId="0" xfId="0" applyFont="1" applyFill="1" applyAlignment="1">
      <alignment horizontal="center"/>
    </xf>
    <xf numFmtId="177" fontId="26" fillId="0" borderId="0" xfId="0" applyNumberFormat="1" applyFont="1" applyBorder="1" applyAlignment="1">
      <alignment horizontal="center"/>
    </xf>
    <xf numFmtId="41" fontId="0" fillId="0" borderId="0" xfId="42" applyNumberFormat="1" applyFont="1" applyFill="1" applyBorder="1" applyAlignment="1" applyProtection="1">
      <alignment/>
      <protection/>
    </xf>
    <xf numFmtId="41" fontId="0" fillId="0" borderId="0" xfId="42" applyNumberFormat="1" applyFont="1" applyFill="1" applyBorder="1" applyAlignment="1" applyProtection="1">
      <alignment horizontal="center"/>
      <protection/>
    </xf>
    <xf numFmtId="0" fontId="0" fillId="0" borderId="23" xfId="0" applyBorder="1" applyAlignment="1" applyProtection="1">
      <alignment/>
      <protection locked="0"/>
    </xf>
    <xf numFmtId="0" fontId="0" fillId="0" borderId="10" xfId="0" applyBorder="1" applyAlignment="1" applyProtection="1">
      <alignment/>
      <protection locked="0"/>
    </xf>
    <xf numFmtId="0" fontId="0" fillId="0" borderId="23" xfId="0" applyFont="1" applyBorder="1" applyAlignment="1" applyProtection="1">
      <alignment/>
      <protection locked="0"/>
    </xf>
    <xf numFmtId="0" fontId="0" fillId="34" borderId="0" xfId="0" applyFont="1" applyFill="1" applyAlignment="1" applyProtection="1">
      <alignment/>
      <protection locked="0"/>
    </xf>
    <xf numFmtId="42" fontId="0" fillId="34" borderId="0" xfId="0" applyNumberFormat="1" applyFill="1" applyAlignment="1" applyProtection="1">
      <alignment/>
      <protection locked="0"/>
    </xf>
    <xf numFmtId="42" fontId="0" fillId="34" borderId="11" xfId="0" applyNumberFormat="1" applyFill="1" applyBorder="1" applyAlignment="1" applyProtection="1">
      <alignment/>
      <protection locked="0"/>
    </xf>
    <xf numFmtId="0" fontId="0" fillId="34" borderId="0" xfId="59" applyFont="1" applyFill="1" applyProtection="1">
      <alignment/>
      <protection locked="0"/>
    </xf>
    <xf numFmtId="41" fontId="0" fillId="34" borderId="0" xfId="0" applyNumberFormat="1" applyFill="1" applyAlignment="1" applyProtection="1">
      <alignment/>
      <protection locked="0"/>
    </xf>
    <xf numFmtId="41" fontId="0" fillId="0" borderId="33" xfId="42" applyNumberFormat="1" applyFont="1" applyFill="1" applyBorder="1" applyAlignment="1" applyProtection="1">
      <alignment/>
      <protection/>
    </xf>
    <xf numFmtId="41" fontId="0" fillId="0" borderId="14" xfId="42" applyNumberFormat="1" applyFont="1" applyFill="1" applyBorder="1" applyAlignment="1" applyProtection="1">
      <alignment/>
      <protection/>
    </xf>
    <xf numFmtId="41" fontId="0" fillId="0" borderId="14" xfId="42" applyNumberFormat="1" applyFont="1" applyBorder="1" applyAlignment="1" applyProtection="1">
      <alignment/>
      <protection/>
    </xf>
    <xf numFmtId="41" fontId="0" fillId="0" borderId="34" xfId="42" applyNumberFormat="1" applyFont="1" applyBorder="1" applyAlignment="1" applyProtection="1">
      <alignment/>
      <protection/>
    </xf>
    <xf numFmtId="43" fontId="0" fillId="0" borderId="10" xfId="42" applyFont="1" applyBorder="1" applyAlignment="1" applyProtection="1">
      <alignment/>
      <protection/>
    </xf>
    <xf numFmtId="0" fontId="0" fillId="0" borderId="10" xfId="0" applyBorder="1" applyAlignment="1" applyProtection="1">
      <alignment/>
      <protection/>
    </xf>
    <xf numFmtId="43" fontId="0" fillId="0" borderId="34" xfId="42" applyFont="1" applyBorder="1" applyAlignment="1" applyProtection="1">
      <alignment/>
      <protection/>
    </xf>
    <xf numFmtId="0" fontId="0" fillId="0" borderId="0" xfId="0" applyBorder="1" applyAlignment="1" applyProtection="1">
      <alignment/>
      <protection/>
    </xf>
    <xf numFmtId="0" fontId="0" fillId="0" borderId="23" xfId="0" applyFont="1" applyBorder="1" applyAlignment="1" applyProtection="1">
      <alignment horizontal="left"/>
      <protection locked="0"/>
    </xf>
    <xf numFmtId="0" fontId="0" fillId="0" borderId="10" xfId="0" applyFont="1" applyBorder="1" applyAlignment="1" applyProtection="1">
      <alignment/>
      <protection locked="0"/>
    </xf>
    <xf numFmtId="0" fontId="2" fillId="34" borderId="0" xfId="0" applyFont="1" applyFill="1" applyAlignment="1" applyProtection="1">
      <alignment horizontal="right"/>
      <protection locked="0"/>
    </xf>
    <xf numFmtId="0" fontId="0" fillId="34" borderId="0" xfId="0" applyFill="1" applyBorder="1" applyAlignment="1" applyProtection="1">
      <alignment horizontal="right"/>
      <protection locked="0"/>
    </xf>
    <xf numFmtId="0" fontId="0" fillId="34" borderId="11" xfId="0" applyFill="1" applyBorder="1" applyAlignment="1" applyProtection="1">
      <alignment horizontal="right"/>
      <protection locked="0"/>
    </xf>
    <xf numFmtId="0" fontId="31" fillId="34" borderId="11" xfId="0" applyFont="1" applyFill="1" applyBorder="1" applyAlignment="1" applyProtection="1">
      <alignment/>
      <protection locked="0"/>
    </xf>
    <xf numFmtId="0" fontId="0" fillId="34" borderId="11" xfId="0" applyFont="1" applyFill="1" applyBorder="1" applyAlignment="1" applyProtection="1">
      <alignment/>
      <protection locked="0"/>
    </xf>
    <xf numFmtId="0" fontId="4" fillId="0" borderId="48" xfId="0" applyFont="1" applyBorder="1" applyAlignment="1">
      <alignment horizontal="center" wrapText="1"/>
    </xf>
    <xf numFmtId="0" fontId="35" fillId="35" borderId="49" xfId="0" applyFont="1" applyFill="1" applyBorder="1" applyAlignment="1">
      <alignment horizontal="center" wrapText="1"/>
    </xf>
    <xf numFmtId="9" fontId="78" fillId="0" borderId="11" xfId="62" applyFont="1" applyBorder="1" applyAlignment="1">
      <alignment/>
    </xf>
    <xf numFmtId="9" fontId="3" fillId="0" borderId="11" xfId="62" applyFont="1" applyBorder="1" applyAlignment="1">
      <alignment/>
    </xf>
    <xf numFmtId="9" fontId="3" fillId="35" borderId="50" xfId="62" applyFont="1" applyFill="1" applyBorder="1" applyAlignment="1">
      <alignment/>
    </xf>
    <xf numFmtId="9" fontId="35" fillId="35" borderId="51" xfId="62" applyFont="1" applyFill="1" applyBorder="1" applyAlignment="1">
      <alignment/>
    </xf>
    <xf numFmtId="0" fontId="4" fillId="0" borderId="27" xfId="0" applyFont="1" applyBorder="1" applyAlignment="1">
      <alignment horizontal="center"/>
    </xf>
    <xf numFmtId="0" fontId="1" fillId="0" borderId="0" xfId="0" applyFont="1" applyFill="1" applyAlignment="1">
      <alignment horizontal="center"/>
    </xf>
    <xf numFmtId="0" fontId="4" fillId="0" borderId="40" xfId="0" applyFont="1" applyBorder="1" applyAlignment="1">
      <alignment horizontal="center"/>
    </xf>
    <xf numFmtId="0" fontId="4" fillId="0" borderId="42" xfId="0" applyFont="1" applyBorder="1" applyAlignment="1">
      <alignment horizontal="center"/>
    </xf>
    <xf numFmtId="0" fontId="26" fillId="0" borderId="16" xfId="0" applyFont="1" applyBorder="1" applyAlignment="1">
      <alignment horizontal="center"/>
    </xf>
    <xf numFmtId="0" fontId="26" fillId="0" borderId="0" xfId="0" applyFont="1" applyBorder="1" applyAlignment="1">
      <alignment/>
    </xf>
    <xf numFmtId="177" fontId="26" fillId="0" borderId="13" xfId="0" applyNumberFormat="1" applyFont="1" applyBorder="1" applyAlignment="1">
      <alignment horizontal="center"/>
    </xf>
    <xf numFmtId="0" fontId="31" fillId="0" borderId="0" xfId="0" applyFont="1" applyBorder="1" applyAlignment="1">
      <alignment/>
    </xf>
    <xf numFmtId="14" fontId="0" fillId="0" borderId="11" xfId="0" applyNumberFormat="1" applyBorder="1" applyAlignment="1">
      <alignment/>
    </xf>
    <xf numFmtId="41" fontId="0" fillId="0" borderId="21" xfId="42" applyNumberFormat="1" applyFont="1" applyBorder="1" applyAlignment="1">
      <alignment/>
    </xf>
    <xf numFmtId="177" fontId="82" fillId="0" borderId="0" xfId="0" applyNumberFormat="1" applyFont="1" applyBorder="1" applyAlignment="1">
      <alignment horizontal="center"/>
    </xf>
    <xf numFmtId="0" fontId="23" fillId="0" borderId="48" xfId="0" applyFont="1" applyBorder="1" applyAlignment="1">
      <alignment horizontal="center" wrapText="1"/>
    </xf>
    <xf numFmtId="41" fontId="30" fillId="0" borderId="23" xfId="42" applyNumberFormat="1" applyFont="1" applyBorder="1" applyAlignment="1">
      <alignment/>
    </xf>
    <xf numFmtId="9" fontId="83" fillId="35" borderId="50" xfId="62" applyFont="1" applyFill="1" applyBorder="1" applyAlignment="1">
      <alignment/>
    </xf>
    <xf numFmtId="9" fontId="35" fillId="35" borderId="52" xfId="62" applyFont="1" applyFill="1" applyBorder="1" applyAlignment="1">
      <alignment/>
    </xf>
    <xf numFmtId="41" fontId="30" fillId="0" borderId="26" xfId="42" applyNumberFormat="1" applyFont="1" applyFill="1" applyBorder="1" applyAlignment="1" applyProtection="1">
      <alignment/>
      <protection locked="0"/>
    </xf>
    <xf numFmtId="9" fontId="3" fillId="0" borderId="11" xfId="42" applyNumberFormat="1" applyFont="1" applyFill="1" applyBorder="1" applyAlignment="1" applyProtection="1">
      <alignment/>
      <protection locked="0"/>
    </xf>
    <xf numFmtId="9" fontId="3" fillId="0" borderId="0" xfId="42" applyNumberFormat="1" applyFont="1" applyFill="1" applyBorder="1" applyAlignment="1" applyProtection="1">
      <alignment/>
      <protection locked="0"/>
    </xf>
    <xf numFmtId="41" fontId="30" fillId="0" borderId="22" xfId="42" applyNumberFormat="1" applyFont="1" applyFill="1" applyBorder="1" applyAlignment="1" applyProtection="1">
      <alignment/>
      <protection locked="0"/>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wrapText="1"/>
    </xf>
    <xf numFmtId="0" fontId="4" fillId="0" borderId="0" xfId="0" applyFont="1" applyAlignment="1">
      <alignment horizontal="left" wrapText="1"/>
    </xf>
    <xf numFmtId="0" fontId="4" fillId="0" borderId="33" xfId="0" applyFont="1" applyBorder="1" applyAlignment="1">
      <alignment horizontal="center"/>
    </xf>
    <xf numFmtId="0" fontId="4" fillId="0" borderId="14" xfId="0" applyFont="1" applyBorder="1" applyAlignment="1">
      <alignment horizontal="center"/>
    </xf>
    <xf numFmtId="0" fontId="4" fillId="0" borderId="34"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11" xfId="0" applyFont="1" applyBorder="1" applyAlignment="1">
      <alignment horizontal="center"/>
    </xf>
    <xf numFmtId="49" fontId="35" fillId="35" borderId="55" xfId="0" applyNumberFormat="1" applyFont="1" applyFill="1" applyBorder="1" applyAlignment="1">
      <alignment horizontal="center" wrapText="1"/>
    </xf>
    <xf numFmtId="49" fontId="35" fillId="35" borderId="56" xfId="0" applyNumberFormat="1" applyFont="1" applyFill="1" applyBorder="1" applyAlignment="1">
      <alignment horizontal="center" wrapText="1"/>
    </xf>
    <xf numFmtId="0" fontId="12" fillId="0" borderId="20" xfId="0" applyFont="1" applyBorder="1" applyAlignment="1">
      <alignment horizontal="center"/>
    </xf>
    <xf numFmtId="0" fontId="12" fillId="0" borderId="0" xfId="0" applyFont="1" applyBorder="1" applyAlignment="1">
      <alignment horizontal="center"/>
    </xf>
    <xf numFmtId="0" fontId="26" fillId="0" borderId="0" xfId="0" applyFont="1" applyAlignment="1">
      <alignment horizontal="center"/>
    </xf>
    <xf numFmtId="0" fontId="4" fillId="0" borderId="33" xfId="0" applyNumberFormat="1" applyFont="1" applyFill="1" applyBorder="1" applyAlignment="1">
      <alignment horizontal="center" wrapText="1"/>
    </xf>
    <xf numFmtId="0" fontId="4" fillId="0" borderId="34" xfId="0" applyNumberFormat="1" applyFont="1" applyFill="1" applyBorder="1" applyAlignment="1">
      <alignment horizontal="center" wrapText="1"/>
    </xf>
    <xf numFmtId="0" fontId="4" fillId="0" borderId="33" xfId="0" applyNumberFormat="1" applyFont="1" applyBorder="1" applyAlignment="1">
      <alignment horizontal="center" wrapText="1"/>
    </xf>
    <xf numFmtId="0" fontId="4" fillId="0" borderId="34" xfId="0" applyNumberFormat="1" applyFont="1" applyBorder="1" applyAlignment="1">
      <alignment horizontal="center" wrapText="1"/>
    </xf>
    <xf numFmtId="49" fontId="35" fillId="35" borderId="57" xfId="0" applyNumberFormat="1" applyFont="1" applyFill="1" applyBorder="1" applyAlignment="1">
      <alignment horizontal="center" wrapText="1"/>
    </xf>
    <xf numFmtId="0" fontId="4" fillId="0" borderId="14" xfId="0" applyNumberFormat="1" applyFont="1" applyBorder="1" applyAlignment="1">
      <alignment horizontal="center" wrapText="1"/>
    </xf>
    <xf numFmtId="49" fontId="4" fillId="0" borderId="33" xfId="0" applyNumberFormat="1" applyFont="1" applyFill="1" applyBorder="1" applyAlignment="1">
      <alignment horizontal="center" wrapText="1"/>
    </xf>
    <xf numFmtId="0" fontId="0" fillId="0" borderId="58" xfId="0" applyFont="1" applyBorder="1" applyAlignment="1">
      <alignment horizontal="center"/>
    </xf>
    <xf numFmtId="0" fontId="0" fillId="0" borderId="54" xfId="0" applyFont="1" applyBorder="1" applyAlignment="1">
      <alignment horizontal="center"/>
    </xf>
    <xf numFmtId="0" fontId="0" fillId="0" borderId="59" xfId="0" applyFont="1" applyBorder="1" applyAlignment="1">
      <alignment horizontal="center"/>
    </xf>
    <xf numFmtId="0" fontId="19" fillId="0" borderId="60" xfId="0" applyFont="1" applyBorder="1" applyAlignment="1">
      <alignment horizontal="center"/>
    </xf>
    <xf numFmtId="0" fontId="19" fillId="0" borderId="61" xfId="0" applyFont="1" applyBorder="1" applyAlignment="1">
      <alignment horizontal="center"/>
    </xf>
    <xf numFmtId="0" fontId="19" fillId="0" borderId="62" xfId="0" applyFont="1" applyBorder="1" applyAlignment="1">
      <alignment horizontal="center"/>
    </xf>
    <xf numFmtId="0" fontId="19" fillId="0" borderId="63" xfId="0" applyFont="1" applyBorder="1" applyAlignment="1">
      <alignment horizontal="center"/>
    </xf>
    <xf numFmtId="0" fontId="19" fillId="0" borderId="45"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49" fontId="5" fillId="0" borderId="20" xfId="0" applyNumberFormat="1" applyFont="1" applyBorder="1" applyAlignment="1">
      <alignment horizontal="center" wrapText="1"/>
    </xf>
    <xf numFmtId="49" fontId="5" fillId="0" borderId="11" xfId="0" applyNumberFormat="1"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xf>
    <xf numFmtId="0" fontId="5" fillId="0" borderId="20" xfId="0" applyNumberFormat="1" applyFont="1" applyBorder="1" applyAlignment="1">
      <alignment horizontal="center" wrapText="1"/>
    </xf>
    <xf numFmtId="0" fontId="5" fillId="0" borderId="11" xfId="0" applyNumberFormat="1" applyFont="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13</xdr:row>
      <xdr:rowOff>66675</xdr:rowOff>
    </xdr:from>
    <xdr:to>
      <xdr:col>13</xdr:col>
      <xdr:colOff>552450</xdr:colOff>
      <xdr:row>21</xdr:row>
      <xdr:rowOff>0</xdr:rowOff>
    </xdr:to>
    <xdr:sp>
      <xdr:nvSpPr>
        <xdr:cNvPr id="1" name="Text Box 1"/>
        <xdr:cNvSpPr txBox="1">
          <a:spLocks noChangeArrowheads="1"/>
        </xdr:cNvSpPr>
      </xdr:nvSpPr>
      <xdr:spPr>
        <a:xfrm>
          <a:off x="180975" y="3009900"/>
          <a:ext cx="7258050" cy="1228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On-campus stockroom that supplies research materials primarily to sponsored projects and other KU Depts.  Inventory is maintained using a weighted average costing method.  Stockroom rates are based upon average inventory cost plus an overhead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Initial fee structure was approved in writing by Lindy Eakin, VP for Administration &amp; Finance in FY2005.
</a:t>
          </a:r>
        </a:p>
      </xdr:txBody>
    </xdr:sp>
    <xdr:clientData/>
  </xdr:twoCellAnchor>
  <xdr:twoCellAnchor>
    <xdr:from>
      <xdr:col>0</xdr:col>
      <xdr:colOff>133350</xdr:colOff>
      <xdr:row>63</xdr:row>
      <xdr:rowOff>0</xdr:rowOff>
    </xdr:from>
    <xdr:to>
      <xdr:col>14</xdr:col>
      <xdr:colOff>95250</xdr:colOff>
      <xdr:row>63</xdr:row>
      <xdr:rowOff>0</xdr:rowOff>
    </xdr:to>
    <xdr:sp>
      <xdr:nvSpPr>
        <xdr:cNvPr id="2" name="Line 11"/>
        <xdr:cNvSpPr>
          <a:spLocks/>
        </xdr:cNvSpPr>
      </xdr:nvSpPr>
      <xdr:spPr>
        <a:xfrm>
          <a:off x="133350" y="11144250"/>
          <a:ext cx="74009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31</xdr:row>
      <xdr:rowOff>0</xdr:rowOff>
    </xdr:from>
    <xdr:to>
      <xdr:col>7</xdr:col>
      <xdr:colOff>619125</xdr:colOff>
      <xdr:row>34</xdr:row>
      <xdr:rowOff>85725</xdr:rowOff>
    </xdr:to>
    <xdr:sp>
      <xdr:nvSpPr>
        <xdr:cNvPr id="1" name="Text Box 1"/>
        <xdr:cNvSpPr txBox="1">
          <a:spLocks noChangeArrowheads="1"/>
        </xdr:cNvSpPr>
      </xdr:nvSpPr>
      <xdr:spPr>
        <a:xfrm>
          <a:off x="180975" y="6257925"/>
          <a:ext cx="6762750" cy="571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Per BU Policy, the Office of Facilities Cost Analysis will provide all depreciation expense costs.  Service centers requesting to include depreciation expense within their service center fee calculations are responsible for contacting the Office of Facilities Cost Analysis.</a:t>
          </a:r>
        </a:p>
      </xdr:txBody>
    </xdr:sp>
    <xdr:clientData/>
  </xdr:twoCellAnchor>
  <xdr:twoCellAnchor>
    <xdr:from>
      <xdr:col>0</xdr:col>
      <xdr:colOff>47625</xdr:colOff>
      <xdr:row>25</xdr:row>
      <xdr:rowOff>133350</xdr:rowOff>
    </xdr:from>
    <xdr:to>
      <xdr:col>7</xdr:col>
      <xdr:colOff>571500</xdr:colOff>
      <xdr:row>30</xdr:row>
      <xdr:rowOff>28575</xdr:rowOff>
    </xdr:to>
    <xdr:sp>
      <xdr:nvSpPr>
        <xdr:cNvPr id="2" name="Text Box 2"/>
        <xdr:cNvSpPr txBox="1">
          <a:spLocks noChangeArrowheads="1"/>
        </xdr:cNvSpPr>
      </xdr:nvSpPr>
      <xdr:spPr>
        <a:xfrm>
          <a:off x="47625" y="5419725"/>
          <a:ext cx="6848475" cy="7048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ahoma"/>
              <a:ea typeface="Tahoma"/>
              <a:cs typeface="Tahoma"/>
            </a:rPr>
            <a:t>REMINDER</a:t>
          </a:r>
          <a:r>
            <a:rPr lang="en-US" cap="none" sz="1000" b="0" i="0" u="none" baseline="0">
              <a:solidFill>
                <a:srgbClr val="000000"/>
              </a:solidFill>
              <a:latin typeface="Tahoma"/>
              <a:ea typeface="Tahoma"/>
              <a:cs typeface="Tahoma"/>
            </a:rPr>
            <a:t> - Per BU Policy, the purchase cost of a capital item may be recovered through depreciation if equipment usage is a significant part of providing the service, the service center is responsible for providing funds to replace the equipment, and the equipment was not purchased with federal funds.  Capital items include assets with a purchase price greater than or equal to $5,000 and a useful life of at least one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Q83"/>
  <sheetViews>
    <sheetView zoomScalePageLayoutView="0" workbookViewId="0" topLeftCell="A1">
      <selection activeCell="A1" sqref="A1:N1"/>
    </sheetView>
  </sheetViews>
  <sheetFormatPr defaultColWidth="8.8515625" defaultRowHeight="12.75"/>
  <cols>
    <col min="1" max="1" width="2.7109375" style="0" customWidth="1"/>
    <col min="2" max="4" width="3.421875" style="0" customWidth="1"/>
    <col min="5" max="5" width="8.140625" style="0" customWidth="1"/>
    <col min="6" max="6" width="11.421875" style="0" customWidth="1"/>
    <col min="7" max="7" width="27.421875" style="0" customWidth="1"/>
    <col min="8" max="8" width="10.140625" style="0" bestFit="1" customWidth="1"/>
    <col min="9" max="9" width="4.7109375" style="7" customWidth="1"/>
    <col min="10" max="10" width="10.7109375" style="7" customWidth="1"/>
    <col min="11" max="11" width="4.7109375" style="0" customWidth="1"/>
    <col min="12" max="12" width="8.28125" style="0" customWidth="1"/>
    <col min="13" max="13" width="4.7109375" style="0" customWidth="1"/>
    <col min="14" max="14" width="8.28125" style="0" customWidth="1"/>
    <col min="15" max="15" width="1.421875" style="0" customWidth="1"/>
    <col min="16" max="16" width="11.8515625" style="0" customWidth="1"/>
  </cols>
  <sheetData>
    <row r="1" spans="1:17" s="8" customFormat="1" ht="31.5">
      <c r="A1" s="436" t="s">
        <v>25</v>
      </c>
      <c r="B1" s="436"/>
      <c r="C1" s="436"/>
      <c r="D1" s="436"/>
      <c r="E1" s="436"/>
      <c r="F1" s="436"/>
      <c r="G1" s="436"/>
      <c r="H1" s="436"/>
      <c r="I1" s="436"/>
      <c r="J1" s="436"/>
      <c r="K1" s="436"/>
      <c r="L1" s="436"/>
      <c r="M1" s="436"/>
      <c r="N1" s="436"/>
      <c r="O1" s="20"/>
      <c r="P1" s="20"/>
      <c r="Q1" s="20"/>
    </row>
    <row r="2" spans="1:17" s="23" customFormat="1" ht="18">
      <c r="A2" s="437" t="s">
        <v>44</v>
      </c>
      <c r="B2" s="437"/>
      <c r="C2" s="437"/>
      <c r="D2" s="437"/>
      <c r="E2" s="437"/>
      <c r="F2" s="437"/>
      <c r="G2" s="437"/>
      <c r="H2" s="437"/>
      <c r="I2" s="437"/>
      <c r="J2" s="437"/>
      <c r="K2" s="437"/>
      <c r="L2" s="437"/>
      <c r="M2" s="437"/>
      <c r="N2" s="437"/>
      <c r="O2" s="22"/>
      <c r="P2" s="22"/>
      <c r="Q2" s="22"/>
    </row>
    <row r="3" spans="1:10" s="8" customFormat="1" ht="15">
      <c r="A3" s="29"/>
      <c r="B3" s="29"/>
      <c r="C3" s="29"/>
      <c r="D3" s="29"/>
      <c r="I3" s="30"/>
      <c r="J3" s="30"/>
    </row>
    <row r="4" spans="1:14" s="8" customFormat="1" ht="38.25" customHeight="1">
      <c r="A4" s="438" t="s">
        <v>97</v>
      </c>
      <c r="B4" s="439"/>
      <c r="C4" s="439"/>
      <c r="D4" s="439"/>
      <c r="E4" s="439"/>
      <c r="F4" s="439"/>
      <c r="G4" s="439"/>
      <c r="H4" s="439"/>
      <c r="I4" s="439"/>
      <c r="J4" s="439"/>
      <c r="K4" s="439"/>
      <c r="L4" s="439"/>
      <c r="M4" s="439"/>
      <c r="N4" s="439"/>
    </row>
    <row r="5" spans="1:10" s="8" customFormat="1" ht="15">
      <c r="A5" s="29"/>
      <c r="B5" s="29"/>
      <c r="C5" s="29"/>
      <c r="D5" s="29"/>
      <c r="I5" s="30"/>
      <c r="J5" s="30"/>
    </row>
    <row r="6" spans="1:12" s="8" customFormat="1" ht="13.5">
      <c r="A6" s="26" t="s">
        <v>2</v>
      </c>
      <c r="B6" s="19"/>
      <c r="C6" s="19"/>
      <c r="D6" s="19"/>
      <c r="F6" s="10"/>
      <c r="G6" s="10"/>
      <c r="H6" s="10"/>
      <c r="I6" s="31"/>
      <c r="J6" s="31"/>
      <c r="K6" s="10"/>
      <c r="L6" s="10"/>
    </row>
    <row r="7" spans="1:15" s="8" customFormat="1" ht="13.5">
      <c r="A7" s="26" t="s">
        <v>3</v>
      </c>
      <c r="B7" s="19"/>
      <c r="C7" s="19"/>
      <c r="D7" s="19"/>
      <c r="F7" s="13"/>
      <c r="G7" s="13"/>
      <c r="H7" s="13"/>
      <c r="I7" s="32"/>
      <c r="J7" s="32"/>
      <c r="K7" s="10"/>
      <c r="L7" s="10"/>
      <c r="O7" s="30"/>
    </row>
    <row r="8" spans="1:15" s="8" customFormat="1" ht="13.5">
      <c r="A8" s="26" t="s">
        <v>4</v>
      </c>
      <c r="B8" s="19"/>
      <c r="C8" s="19"/>
      <c r="D8" s="19"/>
      <c r="I8" s="30"/>
      <c r="J8" s="30"/>
      <c r="O8" s="30"/>
    </row>
    <row r="9" spans="1:15" s="8" customFormat="1" ht="15">
      <c r="A9" s="29"/>
      <c r="B9" s="8" t="s">
        <v>5</v>
      </c>
      <c r="F9" s="10"/>
      <c r="G9" s="10"/>
      <c r="H9" s="10"/>
      <c r="I9" s="31"/>
      <c r="J9" s="31"/>
      <c r="K9" s="10"/>
      <c r="L9" s="10"/>
      <c r="O9" s="30"/>
    </row>
    <row r="10" spans="1:15" s="8" customFormat="1" ht="15">
      <c r="A10" s="29"/>
      <c r="B10" s="8" t="s">
        <v>6</v>
      </c>
      <c r="F10" s="10"/>
      <c r="G10" s="10"/>
      <c r="H10" s="10"/>
      <c r="I10" s="31"/>
      <c r="J10" s="31"/>
      <c r="K10" s="10"/>
      <c r="L10" s="10"/>
      <c r="O10" s="30"/>
    </row>
    <row r="11" spans="1:15" s="8" customFormat="1" ht="15">
      <c r="A11" s="29"/>
      <c r="B11" s="8" t="s">
        <v>7</v>
      </c>
      <c r="F11" s="13"/>
      <c r="G11" s="13"/>
      <c r="H11" s="13"/>
      <c r="I11" s="32"/>
      <c r="J11" s="32"/>
      <c r="K11" s="13"/>
      <c r="L11" s="10"/>
      <c r="O11" s="30"/>
    </row>
    <row r="12" spans="1:10" s="8" customFormat="1" ht="15">
      <c r="A12" s="29"/>
      <c r="B12" s="29"/>
      <c r="C12" s="29"/>
      <c r="D12" s="29"/>
      <c r="I12" s="30"/>
      <c r="J12" s="30"/>
    </row>
    <row r="13" spans="1:10" s="8" customFormat="1" ht="13.5">
      <c r="A13" s="26" t="s">
        <v>45</v>
      </c>
      <c r="B13" s="19"/>
      <c r="C13" s="19"/>
      <c r="D13" s="19"/>
      <c r="I13" s="30"/>
      <c r="J13" s="30"/>
    </row>
    <row r="14" spans="9:10" s="8" customFormat="1" ht="12.75">
      <c r="I14" s="30"/>
      <c r="J14" s="30"/>
    </row>
    <row r="15" spans="9:10" s="8" customFormat="1" ht="12.75">
      <c r="I15" s="30"/>
      <c r="J15" s="30"/>
    </row>
    <row r="16" spans="9:10" s="8" customFormat="1" ht="12.75">
      <c r="I16" s="30"/>
      <c r="J16" s="30"/>
    </row>
    <row r="17" spans="9:10" s="8" customFormat="1" ht="12.75">
      <c r="I17" s="30"/>
      <c r="J17" s="30"/>
    </row>
    <row r="18" spans="9:10" s="8" customFormat="1" ht="12.75">
      <c r="I18" s="30"/>
      <c r="J18" s="30"/>
    </row>
    <row r="19" spans="9:10" s="8" customFormat="1" ht="12.75">
      <c r="I19" s="30"/>
      <c r="J19" s="30"/>
    </row>
    <row r="20" spans="9:10" s="8" customFormat="1" ht="12.75">
      <c r="I20" s="30"/>
      <c r="J20" s="30"/>
    </row>
    <row r="21" spans="9:10" s="8" customFormat="1" ht="12.75">
      <c r="I21" s="30"/>
      <c r="J21" s="30"/>
    </row>
    <row r="22" spans="9:10" s="8" customFormat="1" ht="12.75">
      <c r="I22" s="30"/>
      <c r="J22" s="30"/>
    </row>
    <row r="23" spans="1:12" s="8" customFormat="1" ht="13.5">
      <c r="A23" s="26" t="s">
        <v>46</v>
      </c>
      <c r="B23" s="19"/>
      <c r="C23" s="19"/>
      <c r="D23" s="19"/>
      <c r="I23" s="30"/>
      <c r="J23" s="31"/>
      <c r="K23" s="10"/>
      <c r="L23" s="10"/>
    </row>
    <row r="24" spans="9:10" s="8" customFormat="1" ht="12.75">
      <c r="I24" s="30"/>
      <c r="J24" s="30"/>
    </row>
    <row r="25" spans="1:14" s="8" customFormat="1" ht="14.25">
      <c r="A25" s="26" t="s">
        <v>48</v>
      </c>
      <c r="I25" s="30"/>
      <c r="J25" s="30"/>
      <c r="L25" s="8" t="s">
        <v>40</v>
      </c>
      <c r="N25" s="8" t="s">
        <v>41</v>
      </c>
    </row>
    <row r="26" spans="1:10" s="8" customFormat="1" ht="12.75">
      <c r="A26" s="8" t="s">
        <v>49</v>
      </c>
      <c r="I26" s="30"/>
      <c r="J26" s="30"/>
    </row>
    <row r="27" spans="9:10" s="8" customFormat="1" ht="12.75">
      <c r="I27" s="30"/>
      <c r="J27" s="30"/>
    </row>
    <row r="28" spans="1:10" s="8" customFormat="1" ht="13.5">
      <c r="A28" s="26" t="s">
        <v>52</v>
      </c>
      <c r="B28" s="19"/>
      <c r="C28" s="19"/>
      <c r="D28" s="19"/>
      <c r="I28" s="30"/>
      <c r="J28" s="30"/>
    </row>
    <row r="29" spans="1:10" s="8" customFormat="1" ht="13.5">
      <c r="A29" s="19"/>
      <c r="B29" s="19"/>
      <c r="C29" s="19"/>
      <c r="D29" s="19"/>
      <c r="I29" s="30"/>
      <c r="J29" s="30"/>
    </row>
    <row r="30" spans="8:10" s="8" customFormat="1" ht="13.5">
      <c r="H30" s="33" t="s">
        <v>8</v>
      </c>
      <c r="I30" s="34"/>
      <c r="J30" s="35" t="s">
        <v>9</v>
      </c>
    </row>
    <row r="31" spans="2:10" s="8" customFormat="1" ht="13.5">
      <c r="B31" s="19" t="s">
        <v>10</v>
      </c>
      <c r="C31" s="19"/>
      <c r="D31" s="19"/>
      <c r="E31" s="19"/>
      <c r="H31" s="36"/>
      <c r="I31" s="9"/>
      <c r="J31" s="37"/>
    </row>
    <row r="32" spans="2:10" s="8" customFormat="1" ht="13.5">
      <c r="B32" s="8" t="s">
        <v>50</v>
      </c>
      <c r="E32" s="19"/>
      <c r="H32" s="36"/>
      <c r="I32" s="9"/>
      <c r="J32" s="37"/>
    </row>
    <row r="33" spans="3:10" s="8" customFormat="1" ht="12.75">
      <c r="C33" s="8" t="s">
        <v>11</v>
      </c>
      <c r="H33" s="36">
        <v>225000</v>
      </c>
      <c r="I33" s="9"/>
      <c r="J33" s="37">
        <v>210000</v>
      </c>
    </row>
    <row r="34" spans="3:10" s="8" customFormat="1" ht="12.75">
      <c r="C34" s="8" t="s">
        <v>12</v>
      </c>
      <c r="H34" s="36">
        <v>680000</v>
      </c>
      <c r="I34" s="9"/>
      <c r="J34" s="37">
        <v>675000</v>
      </c>
    </row>
    <row r="35" spans="2:10" s="8" customFormat="1" ht="12.75">
      <c r="B35" s="8" t="s">
        <v>13</v>
      </c>
      <c r="H35" s="36"/>
      <c r="I35" s="9"/>
      <c r="J35" s="37"/>
    </row>
    <row r="36" spans="3:10" s="8" customFormat="1" ht="12.75">
      <c r="C36" s="9" t="s">
        <v>26</v>
      </c>
      <c r="D36" s="9"/>
      <c r="F36" s="9"/>
      <c r="G36" s="9"/>
      <c r="H36" s="36">
        <v>0</v>
      </c>
      <c r="I36" s="9"/>
      <c r="J36" s="37">
        <v>0</v>
      </c>
    </row>
    <row r="37" spans="3:10" s="8" customFormat="1" ht="12.75">
      <c r="C37" s="9" t="s">
        <v>27</v>
      </c>
      <c r="D37" s="9"/>
      <c r="F37" s="9"/>
      <c r="G37" s="9"/>
      <c r="H37" s="36">
        <v>0</v>
      </c>
      <c r="I37" s="9"/>
      <c r="J37" s="37">
        <v>0</v>
      </c>
    </row>
    <row r="38" spans="3:10" s="8" customFormat="1" ht="12.75">
      <c r="C38" s="9" t="s">
        <v>28</v>
      </c>
      <c r="D38" s="9"/>
      <c r="F38" s="9"/>
      <c r="G38" s="9"/>
      <c r="H38" s="36">
        <v>0</v>
      </c>
      <c r="I38" s="9"/>
      <c r="J38" s="37">
        <v>0</v>
      </c>
    </row>
    <row r="39" spans="4:10" s="8" customFormat="1" ht="12.75">
      <c r="D39" s="9" t="s">
        <v>32</v>
      </c>
      <c r="H39" s="36">
        <v>0</v>
      </c>
      <c r="I39" s="9"/>
      <c r="J39" s="37">
        <v>0</v>
      </c>
    </row>
    <row r="40" spans="4:10" s="8" customFormat="1" ht="12.75">
      <c r="D40" s="9" t="s">
        <v>29</v>
      </c>
      <c r="H40" s="36">
        <v>0</v>
      </c>
      <c r="I40" s="9"/>
      <c r="J40" s="37">
        <v>0</v>
      </c>
    </row>
    <row r="41" spans="4:10" s="8" customFormat="1" ht="12.75">
      <c r="D41" s="9" t="s">
        <v>30</v>
      </c>
      <c r="H41" s="36">
        <v>0</v>
      </c>
      <c r="I41" s="9"/>
      <c r="J41" s="37">
        <v>0</v>
      </c>
    </row>
    <row r="42" spans="4:10" s="8" customFormat="1" ht="12.75">
      <c r="D42" s="9" t="s">
        <v>31</v>
      </c>
      <c r="H42" s="36">
        <v>0</v>
      </c>
      <c r="I42" s="9"/>
      <c r="J42" s="37">
        <v>0</v>
      </c>
    </row>
    <row r="43" spans="4:10" s="8" customFormat="1" ht="12.75">
      <c r="D43" s="9" t="s">
        <v>33</v>
      </c>
      <c r="H43" s="36">
        <v>0</v>
      </c>
      <c r="I43" s="9"/>
      <c r="J43" s="37">
        <v>0</v>
      </c>
    </row>
    <row r="44" spans="5:10" s="8" customFormat="1" ht="12.75">
      <c r="E44" s="8" t="s">
        <v>14</v>
      </c>
      <c r="H44" s="38">
        <f>SUM(H33:H43)</f>
        <v>905000</v>
      </c>
      <c r="I44" s="9"/>
      <c r="J44" s="39">
        <f>SUM(J33:J43)</f>
        <v>885000</v>
      </c>
    </row>
    <row r="45" spans="8:10" s="8" customFormat="1" ht="12.75">
      <c r="H45" s="36"/>
      <c r="I45" s="9"/>
      <c r="J45" s="37"/>
    </row>
    <row r="46" spans="2:10" s="8" customFormat="1" ht="13.5">
      <c r="B46" s="19" t="s">
        <v>15</v>
      </c>
      <c r="C46" s="19"/>
      <c r="D46" s="19"/>
      <c r="E46" s="19"/>
      <c r="H46" s="36"/>
      <c r="I46" s="9"/>
      <c r="J46" s="37"/>
    </row>
    <row r="47" spans="3:10" s="8" customFormat="1" ht="12.75">
      <c r="C47" s="8" t="s">
        <v>16</v>
      </c>
      <c r="H47" s="36">
        <v>85000</v>
      </c>
      <c r="I47" s="9"/>
      <c r="J47" s="37">
        <v>80000</v>
      </c>
    </row>
    <row r="48" spans="3:10" s="8" customFormat="1" ht="12.75">
      <c r="C48" s="8" t="s">
        <v>17</v>
      </c>
      <c r="H48" s="36">
        <v>22880</v>
      </c>
      <c r="I48" s="9"/>
      <c r="J48" s="37">
        <v>20250</v>
      </c>
    </row>
    <row r="49" spans="3:10" s="8" customFormat="1" ht="12.75">
      <c r="C49" s="8" t="s">
        <v>18</v>
      </c>
      <c r="H49" s="36">
        <v>750000</v>
      </c>
      <c r="I49" s="9"/>
      <c r="J49" s="37">
        <v>770000</v>
      </c>
    </row>
    <row r="50" spans="3:10" s="8" customFormat="1" ht="12.75">
      <c r="C50" s="8" t="s">
        <v>24</v>
      </c>
      <c r="H50" s="36">
        <v>22000</v>
      </c>
      <c r="I50" s="9"/>
      <c r="J50" s="37">
        <v>25000</v>
      </c>
    </row>
    <row r="51" spans="3:10" s="8" customFormat="1" ht="12.75">
      <c r="C51" s="8" t="s">
        <v>19</v>
      </c>
      <c r="H51" s="36">
        <v>1200</v>
      </c>
      <c r="I51" s="9"/>
      <c r="J51" s="37">
        <v>2500</v>
      </c>
    </row>
    <row r="52" spans="5:10" s="8" customFormat="1" ht="12.75">
      <c r="E52" s="8" t="s">
        <v>20</v>
      </c>
      <c r="H52" s="38">
        <f>SUM(H47:H51)</f>
        <v>881080</v>
      </c>
      <c r="I52" s="9"/>
      <c r="J52" s="39">
        <f>SUM(J47:J51)</f>
        <v>897750</v>
      </c>
    </row>
    <row r="53" spans="8:10" s="8" customFormat="1" ht="12.75">
      <c r="H53" s="36"/>
      <c r="I53" s="9"/>
      <c r="J53" s="37"/>
    </row>
    <row r="54" spans="2:10" s="8" customFormat="1" ht="13.5" thickBot="1">
      <c r="B54" s="8" t="s">
        <v>21</v>
      </c>
      <c r="H54" s="40">
        <f>H44-H52</f>
        <v>23920</v>
      </c>
      <c r="I54" s="9"/>
      <c r="J54" s="41">
        <f>J44-J52</f>
        <v>-12750</v>
      </c>
    </row>
    <row r="55" spans="8:10" s="8" customFormat="1" ht="13.5" thickTop="1">
      <c r="H55" s="36"/>
      <c r="I55" s="9"/>
      <c r="J55" s="37"/>
    </row>
    <row r="56" spans="2:10" s="8" customFormat="1" ht="12.75">
      <c r="B56" s="8" t="s">
        <v>22</v>
      </c>
      <c r="H56" s="42">
        <f>H54/H52</f>
        <v>0.027148499568711126</v>
      </c>
      <c r="I56" s="9"/>
      <c r="J56" s="43">
        <f>J54/J52</f>
        <v>-0.014202172096908938</v>
      </c>
    </row>
    <row r="57" spans="8:10" s="8" customFormat="1" ht="12.75">
      <c r="H57" s="36"/>
      <c r="I57" s="9"/>
      <c r="J57" s="37"/>
    </row>
    <row r="58" spans="2:10" s="8" customFormat="1" ht="12.75">
      <c r="B58" s="8" t="s">
        <v>47</v>
      </c>
      <c r="H58" s="36"/>
      <c r="I58" s="9"/>
      <c r="J58" s="37"/>
    </row>
    <row r="59" spans="3:10" s="8" customFormat="1" ht="12.75">
      <c r="C59" s="8" t="s">
        <v>51</v>
      </c>
      <c r="H59" s="36">
        <v>0</v>
      </c>
      <c r="I59" s="9"/>
      <c r="J59" s="37">
        <v>0</v>
      </c>
    </row>
    <row r="60" spans="8:10" s="8" customFormat="1" ht="12.75">
      <c r="H60" s="44"/>
      <c r="I60" s="10"/>
      <c r="J60" s="45"/>
    </row>
    <row r="63" s="8" customFormat="1" ht="12.75"/>
    <row r="64" s="8" customFormat="1" ht="12.75"/>
    <row r="65" s="8" customFormat="1" ht="13.5">
      <c r="A65" s="19" t="s">
        <v>42</v>
      </c>
    </row>
    <row r="66" s="8" customFormat="1" ht="12.75"/>
    <row r="67" spans="1:14" s="8" customFormat="1" ht="12.75">
      <c r="A67" s="8" t="s">
        <v>94</v>
      </c>
      <c r="E67" s="9"/>
      <c r="F67" s="9"/>
      <c r="G67" s="10"/>
      <c r="H67" s="10"/>
      <c r="I67" s="10"/>
      <c r="J67" s="10"/>
      <c r="L67" s="8" t="s">
        <v>38</v>
      </c>
      <c r="M67" s="10"/>
      <c r="N67" s="10"/>
    </row>
    <row r="68" spans="12:13" s="8" customFormat="1" ht="12.75">
      <c r="L68" s="9"/>
      <c r="M68" s="9"/>
    </row>
    <row r="69" spans="1:14" s="8" customFormat="1" ht="12.75">
      <c r="A69" s="8" t="s">
        <v>34</v>
      </c>
      <c r="E69" s="9"/>
      <c r="F69" s="9"/>
      <c r="G69" s="10"/>
      <c r="H69" s="10"/>
      <c r="I69" s="10"/>
      <c r="J69" s="10"/>
      <c r="L69" s="8" t="s">
        <v>38</v>
      </c>
      <c r="M69" s="10"/>
      <c r="N69" s="10"/>
    </row>
    <row r="70" spans="12:13" s="8" customFormat="1" ht="12.75">
      <c r="L70" s="9"/>
      <c r="M70" s="9"/>
    </row>
    <row r="71" spans="1:14" s="8" customFormat="1" ht="12.75">
      <c r="A71" s="8" t="s">
        <v>43</v>
      </c>
      <c r="E71" s="9"/>
      <c r="F71" s="9"/>
      <c r="G71" s="10"/>
      <c r="H71" s="10"/>
      <c r="I71" s="10"/>
      <c r="J71" s="10"/>
      <c r="L71" s="8" t="s">
        <v>38</v>
      </c>
      <c r="M71" s="10"/>
      <c r="N71" s="10"/>
    </row>
    <row r="72" s="8" customFormat="1" ht="12.75">
      <c r="A72" s="18" t="s">
        <v>35</v>
      </c>
    </row>
    <row r="73" s="8" customFormat="1" ht="12.75"/>
    <row r="74" s="8" customFormat="1" ht="12.75"/>
    <row r="75" s="8" customFormat="1" ht="12.75">
      <c r="A75" s="8" t="s">
        <v>36</v>
      </c>
    </row>
    <row r="76" s="8" customFormat="1" ht="12.75"/>
    <row r="77" spans="6:9" s="8" customFormat="1" ht="12.75">
      <c r="F77" s="8" t="s">
        <v>95</v>
      </c>
      <c r="I77" s="8" t="s">
        <v>96</v>
      </c>
    </row>
    <row r="78" s="8" customFormat="1" ht="12.75"/>
    <row r="79" spans="1:14" s="8" customFormat="1" ht="12.75">
      <c r="A79" s="8" t="s">
        <v>37</v>
      </c>
      <c r="E79" s="9"/>
      <c r="F79" s="9"/>
      <c r="G79" s="10"/>
      <c r="H79" s="10"/>
      <c r="I79" s="10"/>
      <c r="J79" s="10"/>
      <c r="L79" s="8" t="s">
        <v>38</v>
      </c>
      <c r="M79" s="10"/>
      <c r="N79" s="10"/>
    </row>
    <row r="80" spans="5:7" s="8" customFormat="1" ht="12.75">
      <c r="E80" s="9"/>
      <c r="F80" s="9"/>
      <c r="G80" s="9"/>
    </row>
    <row r="81" spans="5:7" s="8" customFormat="1" ht="12.75">
      <c r="E81" s="9"/>
      <c r="F81" s="9"/>
      <c r="G81" s="9"/>
    </row>
    <row r="82" spans="1:14" s="8" customFormat="1" ht="12.75">
      <c r="A82" s="8" t="s">
        <v>39</v>
      </c>
      <c r="E82" s="9"/>
      <c r="F82" s="9"/>
      <c r="G82" s="10"/>
      <c r="H82" s="10"/>
      <c r="I82" s="10"/>
      <c r="J82" s="10"/>
      <c r="L82" s="8" t="s">
        <v>38</v>
      </c>
      <c r="M82" s="10"/>
      <c r="N82" s="10"/>
    </row>
    <row r="83" spans="5:15" s="8" customFormat="1" ht="12.75">
      <c r="E83" s="9"/>
      <c r="F83" s="9"/>
      <c r="G83" s="9"/>
      <c r="H83" s="9"/>
      <c r="I83" s="9"/>
      <c r="J83" s="9"/>
      <c r="K83" s="9"/>
      <c r="N83" s="9"/>
      <c r="O83" s="9"/>
    </row>
  </sheetData>
  <sheetProtection password="CFCA" sheet="1" objects="1" scenarios="1"/>
  <mergeCells count="3">
    <mergeCell ref="A1:N1"/>
    <mergeCell ref="A2:N2"/>
    <mergeCell ref="A4:N4"/>
  </mergeCells>
  <printOptions/>
  <pageMargins left="0.75" right="0.75" top="1" bottom="0.5" header="0.5" footer="0.25"/>
  <pageSetup fitToHeight="0" fitToWidth="1" horizontalDpi="600" verticalDpi="600" orientation="portrait" scale="80"/>
  <headerFooter alignWithMargins="0">
    <oddFooter>&amp;CSend completed form to:  Service Center Fee Evaluation Committee, c/o Comptroller's Office, Room 229, Carruth O'Leary Hall</oddFooter>
  </headerFooter>
  <rowBreaks count="1" manualBreakCount="1">
    <brk id="62" max="14" man="1"/>
  </rowBreaks>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
      <selection activeCell="L7" sqref="L7"/>
    </sheetView>
  </sheetViews>
  <sheetFormatPr defaultColWidth="8.8515625" defaultRowHeight="12.75"/>
  <cols>
    <col min="1" max="1" width="26.8515625" style="0" customWidth="1"/>
    <col min="2" max="2" width="7.8515625" style="0" customWidth="1"/>
    <col min="3" max="5" width="12.7109375" style="0" customWidth="1"/>
    <col min="6" max="7" width="8.8515625" style="0" customWidth="1"/>
    <col min="8" max="13" width="0" style="0" hidden="1" customWidth="1"/>
  </cols>
  <sheetData>
    <row r="1" spans="1:3" ht="15.75">
      <c r="A1" s="151" t="s">
        <v>146</v>
      </c>
      <c r="B1" s="151"/>
      <c r="C1" s="135"/>
    </row>
    <row r="2" spans="1:6" ht="15.75" customHeight="1">
      <c r="A2" s="169" t="s">
        <v>188</v>
      </c>
      <c r="B2" s="151"/>
      <c r="C2" s="151"/>
      <c r="D2" s="288" t="s">
        <v>142</v>
      </c>
      <c r="E2" s="293">
        <f>+'Salary and Wage'!F1</f>
        <v>0</v>
      </c>
      <c r="F2" s="294"/>
    </row>
    <row r="3" spans="1:6" ht="15.75" customHeight="1">
      <c r="A3" s="322"/>
      <c r="B3" s="248" t="s">
        <v>204</v>
      </c>
      <c r="C3" s="249"/>
      <c r="D3" s="288"/>
      <c r="E3" s="298"/>
      <c r="F3" s="299"/>
    </row>
    <row r="4" spans="1:3" ht="15.75" customHeight="1">
      <c r="A4" s="169"/>
      <c r="B4" s="151"/>
      <c r="C4" s="151"/>
    </row>
    <row r="5" spans="1:6" ht="15.75">
      <c r="A5" s="170" t="s">
        <v>186</v>
      </c>
      <c r="B5" s="319">
        <f>+'Salary and Wage'!B1</f>
        <v>0</v>
      </c>
      <c r="C5" s="295"/>
      <c r="D5" s="296"/>
      <c r="E5" s="297"/>
      <c r="F5" s="1"/>
    </row>
    <row r="6" spans="1:6" ht="4.5" customHeight="1">
      <c r="A6" s="170"/>
      <c r="B6" s="171"/>
      <c r="C6" s="171"/>
      <c r="D6" s="172"/>
      <c r="E6" s="173"/>
      <c r="F6" s="1"/>
    </row>
    <row r="7" spans="1:6" ht="15.75">
      <c r="A7" s="170" t="s">
        <v>187</v>
      </c>
      <c r="B7" s="409"/>
      <c r="C7" s="409"/>
      <c r="D7" s="410"/>
      <c r="E7" s="410"/>
      <c r="F7" s="1"/>
    </row>
    <row r="8" spans="2:6" ht="15.75">
      <c r="B8" s="151"/>
      <c r="C8" s="151"/>
      <c r="E8" s="1"/>
      <c r="F8" s="1"/>
    </row>
    <row r="11" spans="2:11" ht="13.5">
      <c r="B11" s="152" t="s">
        <v>159</v>
      </c>
      <c r="C11" s="153" t="s">
        <v>223</v>
      </c>
      <c r="D11" s="153" t="s">
        <v>224</v>
      </c>
      <c r="E11" s="153" t="s">
        <v>226</v>
      </c>
      <c r="I11" s="154" t="s">
        <v>165</v>
      </c>
      <c r="J11" s="154" t="s">
        <v>166</v>
      </c>
      <c r="K11" s="154" t="s">
        <v>167</v>
      </c>
    </row>
    <row r="12" spans="1:12" ht="12.75">
      <c r="A12" s="105" t="s">
        <v>168</v>
      </c>
      <c r="I12" s="155" t="s">
        <v>169</v>
      </c>
      <c r="J12" s="155" t="s">
        <v>169</v>
      </c>
      <c r="K12" s="155" t="s">
        <v>169</v>
      </c>
      <c r="L12" s="156" t="s">
        <v>170</v>
      </c>
    </row>
    <row r="13" spans="1:17" ht="12.75">
      <c r="A13" s="157" t="s">
        <v>171</v>
      </c>
      <c r="C13" s="124"/>
      <c r="D13" s="124"/>
      <c r="E13" s="124"/>
      <c r="Q13" s="157"/>
    </row>
    <row r="14" spans="1:13" ht="12.75">
      <c r="A14" s="391"/>
      <c r="B14" s="328">
        <v>0</v>
      </c>
      <c r="C14" s="392">
        <v>0</v>
      </c>
      <c r="D14" s="159">
        <f aca="true" t="shared" si="0" ref="D14:E17">+C14*1.03</f>
        <v>0</v>
      </c>
      <c r="E14" s="159">
        <f t="shared" si="0"/>
        <v>0</v>
      </c>
      <c r="I14" s="124">
        <f>+C14*0.267</f>
        <v>0</v>
      </c>
      <c r="J14" s="124">
        <f>+D14*0.267</f>
        <v>0</v>
      </c>
      <c r="K14" s="124">
        <f>+E14*0.267</f>
        <v>0</v>
      </c>
      <c r="L14" s="160">
        <v>0.267</v>
      </c>
      <c r="M14" s="158" t="s">
        <v>154</v>
      </c>
    </row>
    <row r="15" spans="1:13" ht="12.75">
      <c r="A15" s="391"/>
      <c r="B15" s="328">
        <v>0</v>
      </c>
      <c r="C15" s="392">
        <v>0</v>
      </c>
      <c r="D15" s="159">
        <f t="shared" si="0"/>
        <v>0</v>
      </c>
      <c r="E15" s="159">
        <f t="shared" si="0"/>
        <v>0</v>
      </c>
      <c r="I15" s="124">
        <f>+C15*0.312</f>
        <v>0</v>
      </c>
      <c r="J15" s="124">
        <f>+D15*0.312</f>
        <v>0</v>
      </c>
      <c r="K15" s="124">
        <f>+E15*0.312</f>
        <v>0</v>
      </c>
      <c r="L15" s="160">
        <v>0.312</v>
      </c>
      <c r="M15" s="158" t="s">
        <v>147</v>
      </c>
    </row>
    <row r="16" spans="1:13" ht="12.75">
      <c r="A16" s="391"/>
      <c r="B16" s="328">
        <v>0</v>
      </c>
      <c r="C16" s="392">
        <v>0</v>
      </c>
      <c r="D16" s="159">
        <f t="shared" si="0"/>
        <v>0</v>
      </c>
      <c r="E16" s="159">
        <f t="shared" si="0"/>
        <v>0</v>
      </c>
      <c r="I16" s="124">
        <f aca="true" t="shared" si="1" ref="I16:K17">+C16*0.267</f>
        <v>0</v>
      </c>
      <c r="J16" s="124">
        <f t="shared" si="1"/>
        <v>0</v>
      </c>
      <c r="K16" s="124">
        <f t="shared" si="1"/>
        <v>0</v>
      </c>
      <c r="L16" s="160">
        <v>0.267</v>
      </c>
      <c r="M16" s="158" t="s">
        <v>154</v>
      </c>
    </row>
    <row r="17" spans="1:13" ht="12.75">
      <c r="A17" s="391"/>
      <c r="B17" s="328">
        <v>0</v>
      </c>
      <c r="C17" s="393">
        <v>0</v>
      </c>
      <c r="D17" s="161">
        <f t="shared" si="0"/>
        <v>0</v>
      </c>
      <c r="E17" s="161">
        <f t="shared" si="0"/>
        <v>0</v>
      </c>
      <c r="I17" s="124">
        <f t="shared" si="1"/>
        <v>0</v>
      </c>
      <c r="J17" s="124">
        <f t="shared" si="1"/>
        <v>0</v>
      </c>
      <c r="K17" s="124">
        <f t="shared" si="1"/>
        <v>0</v>
      </c>
      <c r="L17" s="160">
        <v>0.267</v>
      </c>
      <c r="M17" s="158" t="s">
        <v>154</v>
      </c>
    </row>
    <row r="18" spans="1:11" ht="13.5" thickBot="1">
      <c r="A18" s="1" t="s">
        <v>172</v>
      </c>
      <c r="B18" s="1"/>
      <c r="C18" s="159">
        <f>SUM(C14:C17)</f>
        <v>0</v>
      </c>
      <c r="D18" s="159">
        <f>SUM(D14:D17)</f>
        <v>0</v>
      </c>
      <c r="E18" s="159">
        <f>SUM(E14:E17)</f>
        <v>0</v>
      </c>
      <c r="I18" s="162">
        <f>SUM(I14:I17)</f>
        <v>0</v>
      </c>
      <c r="J18" s="162">
        <f>SUM(J14:J17)</f>
        <v>0</v>
      </c>
      <c r="K18" s="162">
        <f>SUM(K14:K17)</f>
        <v>0</v>
      </c>
    </row>
    <row r="19" spans="1:11" ht="13.5" thickTop="1">
      <c r="A19" s="1" t="s">
        <v>17</v>
      </c>
      <c r="B19" s="1"/>
      <c r="C19" s="159">
        <f>(C14+C16+C17)*0.27</f>
        <v>0</v>
      </c>
      <c r="D19" s="159">
        <f>(D14+D16+D17)*0.27</f>
        <v>0</v>
      </c>
      <c r="E19" s="159">
        <f>(E14+E16+E17)*0.27</f>
        <v>0</v>
      </c>
      <c r="I19" s="124"/>
      <c r="J19" s="124"/>
      <c r="K19" s="124"/>
    </row>
    <row r="20" spans="1:11" ht="12.75">
      <c r="A20" s="1" t="s">
        <v>173</v>
      </c>
      <c r="B20" s="1"/>
      <c r="C20" s="163">
        <f>SUM(C18:C19)</f>
        <v>0</v>
      </c>
      <c r="D20" s="163">
        <f>SUM(D18:D19)</f>
        <v>0</v>
      </c>
      <c r="E20" s="163">
        <f>SUM(E18:E19)</f>
        <v>0</v>
      </c>
      <c r="I20" s="124"/>
      <c r="J20" s="124"/>
      <c r="K20" s="124"/>
    </row>
    <row r="21" spans="3:11" ht="12.75">
      <c r="C21" s="159"/>
      <c r="D21" s="159"/>
      <c r="E21" s="159"/>
      <c r="I21" s="124"/>
      <c r="J21" s="124"/>
      <c r="K21" s="124"/>
    </row>
    <row r="22" spans="1:11" ht="12.75">
      <c r="A22" s="105" t="s">
        <v>174</v>
      </c>
      <c r="B22" s="105"/>
      <c r="C22" s="159"/>
      <c r="D22" s="159"/>
      <c r="E22" s="159"/>
      <c r="I22" s="124"/>
      <c r="J22" s="124"/>
      <c r="K22" s="124"/>
    </row>
    <row r="23" spans="1:5" ht="12.75">
      <c r="A23" s="391"/>
      <c r="B23" s="391"/>
      <c r="C23" s="392">
        <v>0</v>
      </c>
      <c r="D23" s="392">
        <v>0</v>
      </c>
      <c r="E23" s="392">
        <v>0</v>
      </c>
    </row>
    <row r="24" spans="1:5" ht="12.75">
      <c r="A24" s="391"/>
      <c r="B24" s="391"/>
      <c r="C24" s="392">
        <v>0</v>
      </c>
      <c r="D24" s="392">
        <v>0</v>
      </c>
      <c r="E24" s="392">
        <v>0</v>
      </c>
    </row>
    <row r="25" spans="1:5" ht="12.75">
      <c r="A25" s="391"/>
      <c r="B25" s="391"/>
      <c r="C25" s="392">
        <v>0</v>
      </c>
      <c r="D25" s="392">
        <v>0</v>
      </c>
      <c r="E25" s="392">
        <v>0</v>
      </c>
    </row>
    <row r="26" spans="1:5" ht="12.75">
      <c r="A26" s="391"/>
      <c r="B26" s="391"/>
      <c r="C26" s="392">
        <v>0</v>
      </c>
      <c r="D26" s="392">
        <v>0</v>
      </c>
      <c r="E26" s="392">
        <v>0</v>
      </c>
    </row>
    <row r="27" spans="1:5" ht="12.75">
      <c r="A27" s="394" t="s">
        <v>189</v>
      </c>
      <c r="B27" s="391"/>
      <c r="C27" s="392">
        <v>0</v>
      </c>
      <c r="D27" s="392">
        <v>0</v>
      </c>
      <c r="E27" s="392">
        <v>0</v>
      </c>
    </row>
    <row r="28" spans="3:5" ht="12.75">
      <c r="C28" s="159"/>
      <c r="D28" s="159"/>
      <c r="E28" s="159"/>
    </row>
    <row r="29" spans="1:5" ht="12.75">
      <c r="A29" s="1" t="s">
        <v>175</v>
      </c>
      <c r="B29" s="1"/>
      <c r="C29" s="163">
        <f>SUM(C23:C28)</f>
        <v>0</v>
      </c>
      <c r="D29" s="163">
        <f>SUM(D23:D28)</f>
        <v>0</v>
      </c>
      <c r="E29" s="163">
        <f>SUM(E23:E28)</f>
        <v>0</v>
      </c>
    </row>
    <row r="30" spans="1:5" ht="12.75">
      <c r="A30" s="1"/>
      <c r="B30" s="1"/>
      <c r="C30" s="164"/>
      <c r="D30" s="164"/>
      <c r="E30" s="164"/>
    </row>
    <row r="31" spans="1:5" ht="12.75">
      <c r="A31" s="1" t="s">
        <v>176</v>
      </c>
      <c r="B31" s="1"/>
      <c r="C31" s="164">
        <f>+C20+C29</f>
        <v>0</v>
      </c>
      <c r="D31" s="164">
        <f>+D20+D29</f>
        <v>0</v>
      </c>
      <c r="E31" s="164">
        <f>+E20+E29</f>
        <v>0</v>
      </c>
    </row>
    <row r="32" spans="1:5" ht="12.75">
      <c r="A32" s="1" t="s">
        <v>177</v>
      </c>
      <c r="B32" s="1"/>
      <c r="C32" s="164">
        <f>-C27</f>
        <v>0</v>
      </c>
      <c r="D32" s="164">
        <f>-D27</f>
        <v>0</v>
      </c>
      <c r="E32" s="164">
        <f>-E27</f>
        <v>0</v>
      </c>
    </row>
    <row r="33" spans="1:5" ht="13.5" thickBot="1">
      <c r="A33" s="1" t="s">
        <v>178</v>
      </c>
      <c r="B33" s="1"/>
      <c r="C33" s="165">
        <f>SUM(C31:C32)</f>
        <v>0</v>
      </c>
      <c r="D33" s="165">
        <f>SUM(D31:D32)</f>
        <v>0</v>
      </c>
      <c r="E33" s="165">
        <f>SUM(E31:E32)</f>
        <v>0</v>
      </c>
    </row>
    <row r="34" spans="1:5" ht="13.5" thickTop="1">
      <c r="A34" s="1"/>
      <c r="B34" s="1"/>
      <c r="C34" s="164"/>
      <c r="D34" s="164"/>
      <c r="E34" s="164"/>
    </row>
    <row r="35" spans="3:5" ht="12.75">
      <c r="C35" s="159"/>
      <c r="D35" s="159"/>
      <c r="E35" s="159"/>
    </row>
    <row r="36" spans="1:5" ht="12.75">
      <c r="A36" s="158" t="s">
        <v>179</v>
      </c>
      <c r="B36" s="158"/>
      <c r="C36" s="159">
        <f>+C33</f>
        <v>0</v>
      </c>
      <c r="D36" s="159">
        <f>+D33</f>
        <v>0</v>
      </c>
      <c r="E36" s="159">
        <f>+E33</f>
        <v>0</v>
      </c>
    </row>
    <row r="37" spans="1:5" ht="12.75">
      <c r="A37" s="158" t="s">
        <v>180</v>
      </c>
      <c r="B37" s="158"/>
      <c r="C37" s="159">
        <f>+C42*C44</f>
        <v>0</v>
      </c>
      <c r="D37" s="159">
        <f>+D42*D44</f>
        <v>0</v>
      </c>
      <c r="E37" s="159">
        <f>+E42*E44</f>
        <v>0</v>
      </c>
    </row>
    <row r="38" spans="1:5" ht="13.5" thickBot="1">
      <c r="A38" s="1" t="s">
        <v>181</v>
      </c>
      <c r="B38" s="1"/>
      <c r="C38" s="165">
        <f>+C37-C36</f>
        <v>0</v>
      </c>
      <c r="D38" s="165">
        <f>+D37-D36</f>
        <v>0</v>
      </c>
      <c r="E38" s="165">
        <f>+E37-E36</f>
        <v>0</v>
      </c>
    </row>
    <row r="39" spans="1:5" ht="13.5" thickTop="1">
      <c r="A39" s="158"/>
      <c r="B39" s="158"/>
      <c r="C39" s="166"/>
      <c r="D39" s="166"/>
      <c r="E39" s="166"/>
    </row>
    <row r="40" spans="1:5" ht="13.5" thickBot="1">
      <c r="A40" s="1" t="s">
        <v>182</v>
      </c>
      <c r="B40" s="1"/>
      <c r="C40" s="167">
        <f>+C38</f>
        <v>0</v>
      </c>
      <c r="D40" s="167">
        <f>+D38+C40</f>
        <v>0</v>
      </c>
      <c r="E40" s="167">
        <f>+E38+D40</f>
        <v>0</v>
      </c>
    </row>
    <row r="41" ht="13.5" thickTop="1">
      <c r="B41" s="177" t="s">
        <v>108</v>
      </c>
    </row>
    <row r="42" spans="1:5" ht="12.75">
      <c r="A42" s="158" t="s">
        <v>185</v>
      </c>
      <c r="B42" s="391"/>
      <c r="C42" s="395">
        <v>0</v>
      </c>
      <c r="D42" s="395">
        <f>+C42*1.1</f>
        <v>0</v>
      </c>
      <c r="E42" s="395">
        <v>0</v>
      </c>
    </row>
    <row r="43" spans="1:5" ht="12.75">
      <c r="A43" s="158" t="s">
        <v>183</v>
      </c>
      <c r="B43" s="158"/>
      <c r="C43" s="168" t="e">
        <f>+C36/C42</f>
        <v>#DIV/0!</v>
      </c>
      <c r="D43" s="168" t="e">
        <f>+D36/D42</f>
        <v>#DIV/0!</v>
      </c>
      <c r="E43" s="168" t="e">
        <f>+E36/E42</f>
        <v>#DIV/0!</v>
      </c>
    </row>
    <row r="44" spans="1:5" ht="12.75">
      <c r="A44" s="158" t="s">
        <v>184</v>
      </c>
      <c r="B44" s="158"/>
      <c r="C44" s="392">
        <v>0</v>
      </c>
      <c r="D44" s="392">
        <v>0</v>
      </c>
      <c r="E44" s="392">
        <v>0</v>
      </c>
    </row>
    <row r="45" spans="1:5" ht="12.75">
      <c r="A45" s="158"/>
      <c r="B45" s="158"/>
      <c r="C45" s="159"/>
      <c r="D45" s="159"/>
      <c r="E45" s="159"/>
    </row>
    <row r="47" spans="1:2" ht="12.75">
      <c r="A47" s="158"/>
      <c r="B47" s="158"/>
    </row>
  </sheetData>
  <sheetProtection password="CFCA" sheet="1" objects="1" scenarios="1"/>
  <dataValidations count="1">
    <dataValidation type="decimal" showInputMessage="1" showErrorMessage="1" promptTitle="Effort %" prompt="Do not exceed 100%" errorTitle="Effort %" error="Effort % can not exceed 100%" sqref="B14:B17">
      <formula1>0</formula1>
      <formula2>1</formula2>
    </dataValidation>
  </dataValidations>
  <printOptions gridLines="1"/>
  <pageMargins left="0.5" right="0.5" top="1" bottom="1" header="0.5" footer="0.5"/>
  <pageSetup fitToHeight="1" fitToWidth="1" horizontalDpi="600" verticalDpi="600" orientation="landscape" scale="76"/>
  <headerFooter alignWithMargins="0">
    <oddHeader>&amp;R&amp;"Arial,Bold"
</oddHeader>
    <oddFooter>&amp;LPrinted:&amp;D&amp;C&amp;F
&amp;A&amp;R3 Services FY 2017
Service Center Rate Cal Worksheet
Revised 6/28/16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61"/>
  <sheetViews>
    <sheetView tabSelected="1" zoomScalePageLayoutView="0" workbookViewId="0" topLeftCell="A1">
      <selection activeCell="L7" sqref="L7"/>
    </sheetView>
  </sheetViews>
  <sheetFormatPr defaultColWidth="8.8515625" defaultRowHeight="12.75"/>
  <cols>
    <col min="1" max="1" width="18.28125" style="0" customWidth="1"/>
    <col min="2" max="2" width="22.8515625" style="0" customWidth="1"/>
    <col min="3" max="3" width="10.7109375" style="5" customWidth="1"/>
    <col min="4" max="4" width="14.421875" style="0" bestFit="1" customWidth="1"/>
    <col min="5" max="5" width="11.28125" style="0" bestFit="1" customWidth="1"/>
    <col min="6" max="6" width="10.28125" style="0" bestFit="1" customWidth="1"/>
    <col min="7" max="8" width="10.28125" style="0" customWidth="1"/>
    <col min="9" max="9" width="11.8515625" style="0" bestFit="1" customWidth="1"/>
    <col min="10" max="11" width="11.28125" style="0" bestFit="1" customWidth="1"/>
    <col min="12" max="12" width="6.28125" style="0" customWidth="1"/>
    <col min="13" max="13" width="10.28125" style="0" bestFit="1" customWidth="1"/>
    <col min="14" max="14" width="6.28125" style="0" customWidth="1"/>
    <col min="15" max="15" width="9.8515625" style="0" bestFit="1" customWidth="1"/>
    <col min="16" max="16" width="5.7109375" style="0" bestFit="1" customWidth="1"/>
    <col min="17" max="17" width="7.28125" style="0" customWidth="1"/>
    <col min="18" max="18" width="18.421875" style="0" customWidth="1"/>
  </cols>
  <sheetData>
    <row r="1" spans="1:11" ht="15">
      <c r="A1" s="102" t="s">
        <v>143</v>
      </c>
      <c r="B1" s="320"/>
      <c r="C1" s="320"/>
      <c r="D1" s="320"/>
      <c r="E1" s="315" t="s">
        <v>142</v>
      </c>
      <c r="F1" s="321"/>
      <c r="G1" s="321"/>
      <c r="H1" s="321"/>
      <c r="I1" s="321"/>
      <c r="J1" s="180"/>
      <c r="K1" s="180"/>
    </row>
    <row r="2" spans="1:9" ht="15" customHeight="1">
      <c r="A2" s="102"/>
      <c r="B2" s="2"/>
      <c r="C2" s="2"/>
      <c r="D2" s="2"/>
      <c r="E2" s="102"/>
      <c r="F2" s="2"/>
      <c r="G2" s="2"/>
      <c r="H2" s="2"/>
      <c r="I2" s="2"/>
    </row>
    <row r="3" spans="1:21" s="8" customFormat="1" ht="31.5">
      <c r="A3" s="436" t="s">
        <v>146</v>
      </c>
      <c r="B3" s="436"/>
      <c r="C3" s="436"/>
      <c r="D3" s="436"/>
      <c r="E3" s="436"/>
      <c r="F3" s="436"/>
      <c r="G3" s="436"/>
      <c r="H3" s="436"/>
      <c r="I3" s="436"/>
      <c r="J3" s="436"/>
      <c r="K3" s="436"/>
      <c r="L3" s="436"/>
      <c r="M3" s="436"/>
      <c r="N3" s="436"/>
      <c r="O3" s="436"/>
      <c r="P3" s="436"/>
      <c r="Q3" s="436"/>
      <c r="R3" s="436"/>
      <c r="S3" s="20"/>
      <c r="T3" s="20"/>
      <c r="U3" s="20"/>
    </row>
    <row r="4" spans="1:21" s="23" customFormat="1" ht="18">
      <c r="A4" s="437" t="s">
        <v>53</v>
      </c>
      <c r="B4" s="437"/>
      <c r="C4" s="437"/>
      <c r="D4" s="437"/>
      <c r="E4" s="437"/>
      <c r="F4" s="437"/>
      <c r="G4" s="437"/>
      <c r="H4" s="437"/>
      <c r="I4" s="437"/>
      <c r="J4" s="437"/>
      <c r="K4" s="437"/>
      <c r="L4" s="437"/>
      <c r="M4" s="437"/>
      <c r="N4" s="437"/>
      <c r="O4" s="437"/>
      <c r="P4" s="437"/>
      <c r="Q4" s="437"/>
      <c r="R4" s="437"/>
      <c r="S4" s="22"/>
      <c r="T4" s="22"/>
      <c r="U4" s="22"/>
    </row>
    <row r="5" spans="1:21" s="23" customFormat="1" ht="18">
      <c r="A5" s="22"/>
      <c r="B5" s="22"/>
      <c r="C5" s="22"/>
      <c r="D5" s="22"/>
      <c r="E5" s="22"/>
      <c r="F5" s="22"/>
      <c r="G5" s="437" t="s">
        <v>225</v>
      </c>
      <c r="H5" s="437"/>
      <c r="I5" s="22"/>
      <c r="J5" s="22"/>
      <c r="K5" s="22"/>
      <c r="L5" s="22"/>
      <c r="M5" s="22"/>
      <c r="N5" s="22"/>
      <c r="O5" s="22"/>
      <c r="P5" s="22"/>
      <c r="Q5" s="22"/>
      <c r="R5" s="22"/>
      <c r="S5" s="22"/>
      <c r="T5" s="22"/>
      <c r="U5" s="22"/>
    </row>
    <row r="6" spans="1:23" s="23" customFormat="1" ht="18">
      <c r="A6" s="322"/>
      <c r="B6" s="248" t="s">
        <v>204</v>
      </c>
      <c r="C6" s="249"/>
      <c r="D6" s="249"/>
      <c r="E6" s="22"/>
      <c r="F6" s="22"/>
      <c r="G6" s="302"/>
      <c r="H6" s="302"/>
      <c r="I6" s="22"/>
      <c r="J6" s="22"/>
      <c r="K6" s="22"/>
      <c r="L6" s="22"/>
      <c r="M6" s="22"/>
      <c r="N6" s="22"/>
      <c r="O6" s="22"/>
      <c r="P6" s="22"/>
      <c r="Q6" s="22"/>
      <c r="R6" s="22"/>
      <c r="S6" s="22"/>
      <c r="T6" s="22"/>
      <c r="U6" s="22"/>
      <c r="V6" s="22"/>
      <c r="W6" s="22"/>
    </row>
    <row r="7" spans="1:21" s="23" customFormat="1" ht="18.75" thickBot="1">
      <c r="A7" s="22"/>
      <c r="B7" s="22"/>
      <c r="C7" s="22"/>
      <c r="D7" s="113"/>
      <c r="E7" s="22"/>
      <c r="F7" s="22"/>
      <c r="G7" s="22"/>
      <c r="H7" s="113"/>
      <c r="I7" s="113"/>
      <c r="J7" s="22"/>
      <c r="K7" s="22"/>
      <c r="L7" s="22"/>
      <c r="M7" s="22"/>
      <c r="N7" s="22"/>
      <c r="O7" s="113"/>
      <c r="P7" s="113"/>
      <c r="Q7" s="22"/>
      <c r="R7" s="22"/>
      <c r="S7" s="22"/>
      <c r="T7" s="22"/>
      <c r="U7" s="22"/>
    </row>
    <row r="8" spans="1:18" s="8" customFormat="1" ht="12.75">
      <c r="A8" s="11"/>
      <c r="B8" s="12"/>
      <c r="C8" s="27"/>
      <c r="D8" s="178"/>
      <c r="E8" s="12"/>
      <c r="F8" s="12"/>
      <c r="G8" s="12"/>
      <c r="H8" s="9"/>
      <c r="J8" s="48"/>
      <c r="K8" s="443" t="s">
        <v>56</v>
      </c>
      <c r="L8" s="444"/>
      <c r="M8" s="444"/>
      <c r="N8" s="444"/>
      <c r="O8" s="444"/>
      <c r="P8" s="444"/>
      <c r="Q8" s="202"/>
      <c r="R8" s="28"/>
    </row>
    <row r="9" spans="1:18" s="8" customFormat="1" ht="12.75">
      <c r="A9" s="184"/>
      <c r="B9" s="9"/>
      <c r="C9" s="17"/>
      <c r="D9" s="206"/>
      <c r="E9" s="9"/>
      <c r="F9" s="9"/>
      <c r="G9" s="9"/>
      <c r="H9" s="9"/>
      <c r="I9" s="186"/>
      <c r="J9" s="9"/>
      <c r="K9" s="440" t="s">
        <v>112</v>
      </c>
      <c r="L9" s="441"/>
      <c r="M9" s="441"/>
      <c r="N9" s="441"/>
      <c r="O9" s="441"/>
      <c r="P9" s="442"/>
      <c r="Q9" s="185"/>
      <c r="R9" s="187"/>
    </row>
    <row r="10" spans="1:18" s="8" customFormat="1" ht="49.5" customHeight="1" thickBot="1">
      <c r="A10" s="184"/>
      <c r="B10" s="9"/>
      <c r="C10" s="17"/>
      <c r="D10" s="205"/>
      <c r="E10" s="83"/>
      <c r="F10" s="9"/>
      <c r="G10" s="9"/>
      <c r="H10" s="445" t="s">
        <v>197</v>
      </c>
      <c r="I10" s="445"/>
      <c r="J10" s="9"/>
      <c r="K10" s="451">
        <f>+'Forecasted Usage'!B14</f>
        <v>0</v>
      </c>
      <c r="L10" s="452"/>
      <c r="M10" s="451">
        <f>+'Forecasted Usage'!B15</f>
        <v>0</v>
      </c>
      <c r="N10" s="452"/>
      <c r="O10" s="451">
        <f>+'Forecasted Usage'!B16</f>
        <v>0</v>
      </c>
      <c r="P10" s="452"/>
      <c r="Q10" s="185"/>
      <c r="R10" s="187"/>
    </row>
    <row r="11" spans="1:18" s="8" customFormat="1" ht="40.5" customHeight="1" thickBot="1">
      <c r="A11" s="14" t="s">
        <v>54</v>
      </c>
      <c r="B11" s="15" t="s">
        <v>23</v>
      </c>
      <c r="C11" s="50" t="s">
        <v>219</v>
      </c>
      <c r="D11" s="114" t="s">
        <v>220</v>
      </c>
      <c r="E11" s="53" t="s">
        <v>161</v>
      </c>
      <c r="F11" s="49" t="s">
        <v>159</v>
      </c>
      <c r="G11" s="50" t="s">
        <v>160</v>
      </c>
      <c r="H11" s="50" t="s">
        <v>196</v>
      </c>
      <c r="I11" s="50" t="s">
        <v>203</v>
      </c>
      <c r="J11" s="242" t="s">
        <v>202</v>
      </c>
      <c r="K11" s="133" t="s">
        <v>162</v>
      </c>
      <c r="L11" s="188" t="s">
        <v>57</v>
      </c>
      <c r="M11" s="134" t="s">
        <v>163</v>
      </c>
      <c r="N11" s="146" t="s">
        <v>57</v>
      </c>
      <c r="O11" s="134" t="s">
        <v>164</v>
      </c>
      <c r="P11" s="411" t="s">
        <v>57</v>
      </c>
      <c r="Q11" s="412" t="s">
        <v>78</v>
      </c>
      <c r="R11" s="16" t="s">
        <v>59</v>
      </c>
    </row>
    <row r="12" spans="1:18" s="18" customFormat="1" ht="11.25" customHeight="1">
      <c r="A12" s="203" t="s">
        <v>92</v>
      </c>
      <c r="B12" s="189"/>
      <c r="C12" s="190"/>
      <c r="D12" s="191"/>
      <c r="E12" s="192"/>
      <c r="F12" s="193"/>
      <c r="G12" s="193"/>
      <c r="H12" s="193"/>
      <c r="I12" s="193"/>
      <c r="J12" s="194"/>
      <c r="K12" s="192"/>
      <c r="L12" s="195"/>
      <c r="M12" s="193"/>
      <c r="N12" s="195"/>
      <c r="O12" s="196"/>
      <c r="P12" s="196"/>
      <c r="Q12" s="430"/>
      <c r="R12" s="446" t="s">
        <v>218</v>
      </c>
    </row>
    <row r="13" spans="1:18" s="18" customFormat="1" ht="12.75" thickBot="1">
      <c r="A13" s="197" t="s">
        <v>1</v>
      </c>
      <c r="B13" s="198" t="s">
        <v>60</v>
      </c>
      <c r="C13" s="199">
        <v>12345678</v>
      </c>
      <c r="D13" s="310" t="s">
        <v>221</v>
      </c>
      <c r="E13" s="432">
        <v>34900</v>
      </c>
      <c r="F13" s="433">
        <v>1</v>
      </c>
      <c r="G13" s="200">
        <f>+E13*F13</f>
        <v>34900</v>
      </c>
      <c r="H13" s="236">
        <v>0.27</v>
      </c>
      <c r="I13" s="260">
        <f>+G13*H13</f>
        <v>9423</v>
      </c>
      <c r="J13" s="261">
        <f>SUM(G13:I13)</f>
        <v>44323.27</v>
      </c>
      <c r="K13" s="262">
        <f>J13*L13</f>
        <v>33242.4525</v>
      </c>
      <c r="L13" s="201">
        <v>0.75</v>
      </c>
      <c r="M13" s="260">
        <f>J13*N13</f>
        <v>11080.8175</v>
      </c>
      <c r="N13" s="201">
        <v>0.25</v>
      </c>
      <c r="O13" s="120">
        <f>$J13*P13</f>
        <v>0</v>
      </c>
      <c r="P13" s="413">
        <v>0</v>
      </c>
      <c r="Q13" s="431">
        <f aca="true" t="shared" si="0" ref="Q13:Q47">SUM(L13,N13,P13)</f>
        <v>1</v>
      </c>
      <c r="R13" s="447"/>
    </row>
    <row r="14" spans="1:18" ht="12.75">
      <c r="A14" s="323"/>
      <c r="B14" s="324"/>
      <c r="C14" s="325"/>
      <c r="D14" s="326"/>
      <c r="E14" s="327"/>
      <c r="F14" s="328"/>
      <c r="G14" s="148">
        <f aca="true" t="shared" si="1" ref="G14:G47">+E14*F14</f>
        <v>0</v>
      </c>
      <c r="H14" s="335">
        <v>0.27</v>
      </c>
      <c r="I14" s="174">
        <f>+G14*H14</f>
        <v>0</v>
      </c>
      <c r="J14" s="106">
        <f>+G14+I14</f>
        <v>0</v>
      </c>
      <c r="K14" s="107">
        <f>$J14*L14</f>
        <v>0</v>
      </c>
      <c r="L14" s="336"/>
      <c r="M14" s="109">
        <f>$J14*N14</f>
        <v>0</v>
      </c>
      <c r="N14" s="336"/>
      <c r="O14" s="108">
        <f>$J14*P14</f>
        <v>0</v>
      </c>
      <c r="P14" s="336"/>
      <c r="Q14" s="217">
        <f t="shared" si="0"/>
        <v>0</v>
      </c>
      <c r="R14" s="388"/>
    </row>
    <row r="15" spans="1:18" ht="12.75">
      <c r="A15" s="329"/>
      <c r="B15" s="330"/>
      <c r="C15" s="325"/>
      <c r="D15" s="326"/>
      <c r="E15" s="327"/>
      <c r="F15" s="328"/>
      <c r="G15" s="148">
        <f t="shared" si="1"/>
        <v>0</v>
      </c>
      <c r="H15" s="335">
        <v>0.27</v>
      </c>
      <c r="I15" s="174">
        <f>+G15*H15</f>
        <v>0</v>
      </c>
      <c r="J15" s="106">
        <f>+G15+I15</f>
        <v>0</v>
      </c>
      <c r="K15" s="107">
        <f aca="true" t="shared" si="2" ref="K15:K47">$J15*L15</f>
        <v>0</v>
      </c>
      <c r="L15" s="336"/>
      <c r="M15" s="109">
        <f>$J15*N15</f>
        <v>0</v>
      </c>
      <c r="N15" s="336"/>
      <c r="O15" s="109">
        <f>$J15*P15</f>
        <v>0</v>
      </c>
      <c r="P15" s="336"/>
      <c r="Q15" s="217">
        <f t="shared" si="0"/>
        <v>0</v>
      </c>
      <c r="R15" s="388"/>
    </row>
    <row r="16" spans="1:18" ht="12.75">
      <c r="A16" s="329"/>
      <c r="B16" s="330"/>
      <c r="C16" s="325"/>
      <c r="D16" s="326"/>
      <c r="E16" s="327"/>
      <c r="F16" s="328"/>
      <c r="G16" s="148">
        <f t="shared" si="1"/>
        <v>0</v>
      </c>
      <c r="H16" s="335">
        <v>0.27</v>
      </c>
      <c r="I16" s="174">
        <f aca="true" t="shared" si="3" ref="I16:I47">+G16*H16</f>
        <v>0</v>
      </c>
      <c r="J16" s="106">
        <f aca="true" t="shared" si="4" ref="J16:J47">+G16+I16</f>
        <v>0</v>
      </c>
      <c r="K16" s="107">
        <f t="shared" si="2"/>
        <v>0</v>
      </c>
      <c r="L16" s="336"/>
      <c r="M16" s="109">
        <f aca="true" t="shared" si="5" ref="M16:M47">$J16*N16</f>
        <v>0</v>
      </c>
      <c r="N16" s="336"/>
      <c r="O16" s="109">
        <f aca="true" t="shared" si="6" ref="O16:O47">$J16*P16</f>
        <v>0</v>
      </c>
      <c r="P16" s="336"/>
      <c r="Q16" s="217">
        <f t="shared" si="0"/>
        <v>0</v>
      </c>
      <c r="R16" s="388"/>
    </row>
    <row r="17" spans="1:18" ht="12.75">
      <c r="A17" s="329"/>
      <c r="B17" s="330"/>
      <c r="C17" s="325"/>
      <c r="D17" s="326"/>
      <c r="E17" s="327"/>
      <c r="F17" s="328"/>
      <c r="G17" s="148">
        <f t="shared" si="1"/>
        <v>0</v>
      </c>
      <c r="H17" s="335">
        <v>0.27</v>
      </c>
      <c r="I17" s="174">
        <f t="shared" si="3"/>
        <v>0</v>
      </c>
      <c r="J17" s="106">
        <f t="shared" si="4"/>
        <v>0</v>
      </c>
      <c r="K17" s="107">
        <f t="shared" si="2"/>
        <v>0</v>
      </c>
      <c r="L17" s="336"/>
      <c r="M17" s="109">
        <f t="shared" si="5"/>
        <v>0</v>
      </c>
      <c r="N17" s="336"/>
      <c r="O17" s="109">
        <f t="shared" si="6"/>
        <v>0</v>
      </c>
      <c r="P17" s="336"/>
      <c r="Q17" s="217">
        <f t="shared" si="0"/>
        <v>0</v>
      </c>
      <c r="R17" s="388"/>
    </row>
    <row r="18" spans="1:18" ht="12.75">
      <c r="A18" s="329"/>
      <c r="B18" s="324"/>
      <c r="C18" s="325"/>
      <c r="D18" s="326"/>
      <c r="E18" s="327"/>
      <c r="F18" s="328"/>
      <c r="G18" s="148">
        <f t="shared" si="1"/>
        <v>0</v>
      </c>
      <c r="H18" s="335">
        <v>0.27</v>
      </c>
      <c r="I18" s="174">
        <f t="shared" si="3"/>
        <v>0</v>
      </c>
      <c r="J18" s="106">
        <f t="shared" si="4"/>
        <v>0</v>
      </c>
      <c r="K18" s="107">
        <f t="shared" si="2"/>
        <v>0</v>
      </c>
      <c r="L18" s="336"/>
      <c r="M18" s="109">
        <f t="shared" si="5"/>
        <v>0</v>
      </c>
      <c r="N18" s="336"/>
      <c r="O18" s="109">
        <f t="shared" si="6"/>
        <v>0</v>
      </c>
      <c r="P18" s="336"/>
      <c r="Q18" s="217">
        <f t="shared" si="0"/>
        <v>0</v>
      </c>
      <c r="R18" s="388"/>
    </row>
    <row r="19" spans="1:18" ht="12.75">
      <c r="A19" s="329"/>
      <c r="B19" s="330"/>
      <c r="C19" s="325"/>
      <c r="D19" s="326"/>
      <c r="E19" s="327"/>
      <c r="F19" s="328"/>
      <c r="G19" s="148">
        <f t="shared" si="1"/>
        <v>0</v>
      </c>
      <c r="H19" s="335">
        <v>0.27</v>
      </c>
      <c r="I19" s="174">
        <f t="shared" si="3"/>
        <v>0</v>
      </c>
      <c r="J19" s="106">
        <f t="shared" si="4"/>
        <v>0</v>
      </c>
      <c r="K19" s="107">
        <f t="shared" si="2"/>
        <v>0</v>
      </c>
      <c r="L19" s="336"/>
      <c r="M19" s="109">
        <f t="shared" si="5"/>
        <v>0</v>
      </c>
      <c r="N19" s="336"/>
      <c r="O19" s="109">
        <f t="shared" si="6"/>
        <v>0</v>
      </c>
      <c r="P19" s="336"/>
      <c r="Q19" s="217">
        <f t="shared" si="0"/>
        <v>0</v>
      </c>
      <c r="R19" s="388"/>
    </row>
    <row r="20" spans="1:18" ht="12.75">
      <c r="A20" s="329"/>
      <c r="B20" s="330"/>
      <c r="C20" s="325"/>
      <c r="D20" s="326"/>
      <c r="E20" s="327"/>
      <c r="F20" s="328"/>
      <c r="G20" s="148">
        <f t="shared" si="1"/>
        <v>0</v>
      </c>
      <c r="H20" s="335">
        <v>0.27</v>
      </c>
      <c r="I20" s="174">
        <f t="shared" si="3"/>
        <v>0</v>
      </c>
      <c r="J20" s="106">
        <f t="shared" si="4"/>
        <v>0</v>
      </c>
      <c r="K20" s="107">
        <f t="shared" si="2"/>
        <v>0</v>
      </c>
      <c r="L20" s="336"/>
      <c r="M20" s="109">
        <f t="shared" si="5"/>
        <v>0</v>
      </c>
      <c r="N20" s="336"/>
      <c r="O20" s="109">
        <f t="shared" si="6"/>
        <v>0</v>
      </c>
      <c r="P20" s="336"/>
      <c r="Q20" s="217">
        <f t="shared" si="0"/>
        <v>0</v>
      </c>
      <c r="R20" s="388"/>
    </row>
    <row r="21" spans="1:18" ht="12.75">
      <c r="A21" s="329"/>
      <c r="B21" s="330"/>
      <c r="C21" s="325"/>
      <c r="D21" s="326"/>
      <c r="E21" s="327"/>
      <c r="F21" s="328"/>
      <c r="G21" s="148">
        <f t="shared" si="1"/>
        <v>0</v>
      </c>
      <c r="H21" s="335">
        <v>0.27</v>
      </c>
      <c r="I21" s="174">
        <f t="shared" si="3"/>
        <v>0</v>
      </c>
      <c r="J21" s="106">
        <f t="shared" si="4"/>
        <v>0</v>
      </c>
      <c r="K21" s="107">
        <f t="shared" si="2"/>
        <v>0</v>
      </c>
      <c r="L21" s="336"/>
      <c r="M21" s="109">
        <f t="shared" si="5"/>
        <v>0</v>
      </c>
      <c r="N21" s="336"/>
      <c r="O21" s="109">
        <f t="shared" si="6"/>
        <v>0</v>
      </c>
      <c r="P21" s="336"/>
      <c r="Q21" s="217">
        <f t="shared" si="0"/>
        <v>0</v>
      </c>
      <c r="R21" s="388"/>
    </row>
    <row r="22" spans="1:18" ht="12.75">
      <c r="A22" s="329"/>
      <c r="B22" s="330"/>
      <c r="C22" s="325"/>
      <c r="D22" s="326"/>
      <c r="E22" s="327"/>
      <c r="F22" s="328"/>
      <c r="G22" s="148">
        <f t="shared" si="1"/>
        <v>0</v>
      </c>
      <c r="H22" s="335">
        <v>0.27</v>
      </c>
      <c r="I22" s="174">
        <f t="shared" si="3"/>
        <v>0</v>
      </c>
      <c r="J22" s="106">
        <f t="shared" si="4"/>
        <v>0</v>
      </c>
      <c r="K22" s="107">
        <f t="shared" si="2"/>
        <v>0</v>
      </c>
      <c r="L22" s="336"/>
      <c r="M22" s="109">
        <f t="shared" si="5"/>
        <v>0</v>
      </c>
      <c r="N22" s="336"/>
      <c r="O22" s="109">
        <f t="shared" si="6"/>
        <v>0</v>
      </c>
      <c r="P22" s="336"/>
      <c r="Q22" s="217">
        <f t="shared" si="0"/>
        <v>0</v>
      </c>
      <c r="R22" s="388"/>
    </row>
    <row r="23" spans="1:18" ht="12.75">
      <c r="A23" s="329"/>
      <c r="B23" s="330"/>
      <c r="C23" s="325"/>
      <c r="D23" s="326"/>
      <c r="E23" s="327"/>
      <c r="F23" s="328"/>
      <c r="G23" s="148">
        <f t="shared" si="1"/>
        <v>0</v>
      </c>
      <c r="H23" s="335">
        <v>0.27</v>
      </c>
      <c r="I23" s="174">
        <f t="shared" si="3"/>
        <v>0</v>
      </c>
      <c r="J23" s="106">
        <f t="shared" si="4"/>
        <v>0</v>
      </c>
      <c r="K23" s="107">
        <f t="shared" si="2"/>
        <v>0</v>
      </c>
      <c r="L23" s="336"/>
      <c r="M23" s="109">
        <f t="shared" si="5"/>
        <v>0</v>
      </c>
      <c r="N23" s="336"/>
      <c r="O23" s="109">
        <f t="shared" si="6"/>
        <v>0</v>
      </c>
      <c r="P23" s="336"/>
      <c r="Q23" s="217">
        <f t="shared" si="0"/>
        <v>0</v>
      </c>
      <c r="R23" s="388"/>
    </row>
    <row r="24" spans="1:18" ht="12.75">
      <c r="A24" s="329"/>
      <c r="B24" s="330"/>
      <c r="C24" s="325"/>
      <c r="D24" s="326"/>
      <c r="E24" s="327"/>
      <c r="F24" s="328"/>
      <c r="G24" s="148">
        <f t="shared" si="1"/>
        <v>0</v>
      </c>
      <c r="H24" s="335">
        <v>0.27</v>
      </c>
      <c r="I24" s="174">
        <f t="shared" si="3"/>
        <v>0</v>
      </c>
      <c r="J24" s="106">
        <f t="shared" si="4"/>
        <v>0</v>
      </c>
      <c r="K24" s="107">
        <f t="shared" si="2"/>
        <v>0</v>
      </c>
      <c r="L24" s="336"/>
      <c r="M24" s="109">
        <f t="shared" si="5"/>
        <v>0</v>
      </c>
      <c r="N24" s="336"/>
      <c r="O24" s="109">
        <f t="shared" si="6"/>
        <v>0</v>
      </c>
      <c r="P24" s="336"/>
      <c r="Q24" s="217">
        <f t="shared" si="0"/>
        <v>0</v>
      </c>
      <c r="R24" s="388"/>
    </row>
    <row r="25" spans="1:18" ht="12.75">
      <c r="A25" s="329"/>
      <c r="B25" s="330"/>
      <c r="C25" s="325"/>
      <c r="D25" s="326"/>
      <c r="E25" s="327"/>
      <c r="F25" s="328"/>
      <c r="G25" s="148">
        <f t="shared" si="1"/>
        <v>0</v>
      </c>
      <c r="H25" s="335">
        <v>0.27</v>
      </c>
      <c r="I25" s="174">
        <f t="shared" si="3"/>
        <v>0</v>
      </c>
      <c r="J25" s="106">
        <f t="shared" si="4"/>
        <v>0</v>
      </c>
      <c r="K25" s="107">
        <f t="shared" si="2"/>
        <v>0</v>
      </c>
      <c r="L25" s="336"/>
      <c r="M25" s="109">
        <f t="shared" si="5"/>
        <v>0</v>
      </c>
      <c r="N25" s="336"/>
      <c r="O25" s="109">
        <f t="shared" si="6"/>
        <v>0</v>
      </c>
      <c r="P25" s="336"/>
      <c r="Q25" s="217">
        <f t="shared" si="0"/>
        <v>0</v>
      </c>
      <c r="R25" s="388"/>
    </row>
    <row r="26" spans="1:18" ht="12.75">
      <c r="A26" s="329"/>
      <c r="B26" s="330"/>
      <c r="C26" s="325"/>
      <c r="D26" s="326"/>
      <c r="E26" s="327"/>
      <c r="F26" s="328"/>
      <c r="G26" s="148">
        <f t="shared" si="1"/>
        <v>0</v>
      </c>
      <c r="H26" s="335">
        <v>0.27</v>
      </c>
      <c r="I26" s="174">
        <f t="shared" si="3"/>
        <v>0</v>
      </c>
      <c r="J26" s="106">
        <f t="shared" si="4"/>
        <v>0</v>
      </c>
      <c r="K26" s="107">
        <f t="shared" si="2"/>
        <v>0</v>
      </c>
      <c r="L26" s="336"/>
      <c r="M26" s="109">
        <f t="shared" si="5"/>
        <v>0</v>
      </c>
      <c r="N26" s="336"/>
      <c r="O26" s="109">
        <f t="shared" si="6"/>
        <v>0</v>
      </c>
      <c r="P26" s="336"/>
      <c r="Q26" s="217">
        <f t="shared" si="0"/>
        <v>0</v>
      </c>
      <c r="R26" s="388"/>
    </row>
    <row r="27" spans="1:18" ht="12.75">
      <c r="A27" s="329"/>
      <c r="B27" s="330"/>
      <c r="C27" s="325"/>
      <c r="D27" s="326"/>
      <c r="E27" s="327"/>
      <c r="F27" s="328"/>
      <c r="G27" s="148">
        <f t="shared" si="1"/>
        <v>0</v>
      </c>
      <c r="H27" s="335">
        <v>0.27</v>
      </c>
      <c r="I27" s="174">
        <f t="shared" si="3"/>
        <v>0</v>
      </c>
      <c r="J27" s="106">
        <f t="shared" si="4"/>
        <v>0</v>
      </c>
      <c r="K27" s="107">
        <f t="shared" si="2"/>
        <v>0</v>
      </c>
      <c r="L27" s="336"/>
      <c r="M27" s="109">
        <f t="shared" si="5"/>
        <v>0</v>
      </c>
      <c r="N27" s="336"/>
      <c r="O27" s="109">
        <f t="shared" si="6"/>
        <v>0</v>
      </c>
      <c r="P27" s="336"/>
      <c r="Q27" s="217">
        <f t="shared" si="0"/>
        <v>0</v>
      </c>
      <c r="R27" s="388"/>
    </row>
    <row r="28" spans="1:18" ht="12.75">
      <c r="A28" s="329"/>
      <c r="B28" s="330"/>
      <c r="C28" s="325"/>
      <c r="D28" s="326"/>
      <c r="E28" s="327"/>
      <c r="F28" s="328"/>
      <c r="G28" s="148">
        <f t="shared" si="1"/>
        <v>0</v>
      </c>
      <c r="H28" s="335">
        <v>0.27</v>
      </c>
      <c r="I28" s="174">
        <f t="shared" si="3"/>
        <v>0</v>
      </c>
      <c r="J28" s="106">
        <f t="shared" si="4"/>
        <v>0</v>
      </c>
      <c r="K28" s="107">
        <f t="shared" si="2"/>
        <v>0</v>
      </c>
      <c r="L28" s="336"/>
      <c r="M28" s="109">
        <f t="shared" si="5"/>
        <v>0</v>
      </c>
      <c r="N28" s="336"/>
      <c r="O28" s="109">
        <f t="shared" si="6"/>
        <v>0</v>
      </c>
      <c r="P28" s="336"/>
      <c r="Q28" s="217">
        <f t="shared" si="0"/>
        <v>0</v>
      </c>
      <c r="R28" s="388"/>
    </row>
    <row r="29" spans="1:18" ht="12.75">
      <c r="A29" s="329"/>
      <c r="B29" s="330"/>
      <c r="C29" s="325"/>
      <c r="D29" s="326"/>
      <c r="E29" s="327"/>
      <c r="F29" s="328"/>
      <c r="G29" s="148">
        <f t="shared" si="1"/>
        <v>0</v>
      </c>
      <c r="H29" s="335">
        <v>0.27</v>
      </c>
      <c r="I29" s="174">
        <f t="shared" si="3"/>
        <v>0</v>
      </c>
      <c r="J29" s="106">
        <f t="shared" si="4"/>
        <v>0</v>
      </c>
      <c r="K29" s="107">
        <f t="shared" si="2"/>
        <v>0</v>
      </c>
      <c r="L29" s="336"/>
      <c r="M29" s="109">
        <f t="shared" si="5"/>
        <v>0</v>
      </c>
      <c r="N29" s="336"/>
      <c r="O29" s="109">
        <f t="shared" si="6"/>
        <v>0</v>
      </c>
      <c r="P29" s="336"/>
      <c r="Q29" s="217">
        <f t="shared" si="0"/>
        <v>0</v>
      </c>
      <c r="R29" s="388"/>
    </row>
    <row r="30" spans="1:18" ht="12.75">
      <c r="A30" s="329"/>
      <c r="B30" s="330"/>
      <c r="C30" s="325"/>
      <c r="D30" s="326"/>
      <c r="E30" s="327"/>
      <c r="F30" s="328"/>
      <c r="G30" s="148">
        <f t="shared" si="1"/>
        <v>0</v>
      </c>
      <c r="H30" s="335">
        <v>0.27</v>
      </c>
      <c r="I30" s="174">
        <f t="shared" si="3"/>
        <v>0</v>
      </c>
      <c r="J30" s="106">
        <f t="shared" si="4"/>
        <v>0</v>
      </c>
      <c r="K30" s="107">
        <f t="shared" si="2"/>
        <v>0</v>
      </c>
      <c r="L30" s="336"/>
      <c r="M30" s="109">
        <f t="shared" si="5"/>
        <v>0</v>
      </c>
      <c r="N30" s="336"/>
      <c r="O30" s="109">
        <f t="shared" si="6"/>
        <v>0</v>
      </c>
      <c r="P30" s="336"/>
      <c r="Q30" s="217">
        <f t="shared" si="0"/>
        <v>0</v>
      </c>
      <c r="R30" s="388"/>
    </row>
    <row r="31" spans="1:18" ht="12.75">
      <c r="A31" s="329"/>
      <c r="B31" s="330"/>
      <c r="C31" s="325"/>
      <c r="D31" s="326"/>
      <c r="E31" s="327"/>
      <c r="F31" s="328"/>
      <c r="G31" s="148">
        <f t="shared" si="1"/>
        <v>0</v>
      </c>
      <c r="H31" s="335">
        <v>0.27</v>
      </c>
      <c r="I31" s="174">
        <f t="shared" si="3"/>
        <v>0</v>
      </c>
      <c r="J31" s="106">
        <f t="shared" si="4"/>
        <v>0</v>
      </c>
      <c r="K31" s="107">
        <f t="shared" si="2"/>
        <v>0</v>
      </c>
      <c r="L31" s="336"/>
      <c r="M31" s="109">
        <f t="shared" si="5"/>
        <v>0</v>
      </c>
      <c r="N31" s="336"/>
      <c r="O31" s="109">
        <f t="shared" si="6"/>
        <v>0</v>
      </c>
      <c r="P31" s="336"/>
      <c r="Q31" s="217">
        <f t="shared" si="0"/>
        <v>0</v>
      </c>
      <c r="R31" s="388"/>
    </row>
    <row r="32" spans="1:18" ht="12.75">
      <c r="A32" s="329"/>
      <c r="B32" s="330"/>
      <c r="C32" s="325"/>
      <c r="D32" s="326"/>
      <c r="E32" s="327"/>
      <c r="F32" s="328"/>
      <c r="G32" s="148">
        <f t="shared" si="1"/>
        <v>0</v>
      </c>
      <c r="H32" s="335">
        <v>0.27</v>
      </c>
      <c r="I32" s="174">
        <f t="shared" si="3"/>
        <v>0</v>
      </c>
      <c r="J32" s="106">
        <f t="shared" si="4"/>
        <v>0</v>
      </c>
      <c r="K32" s="107">
        <f t="shared" si="2"/>
        <v>0</v>
      </c>
      <c r="L32" s="336"/>
      <c r="M32" s="109">
        <f t="shared" si="5"/>
        <v>0</v>
      </c>
      <c r="N32" s="336"/>
      <c r="O32" s="109">
        <f t="shared" si="6"/>
        <v>0</v>
      </c>
      <c r="P32" s="336"/>
      <c r="Q32" s="217">
        <f t="shared" si="0"/>
        <v>0</v>
      </c>
      <c r="R32" s="388"/>
    </row>
    <row r="33" spans="1:18" ht="12.75">
      <c r="A33" s="329"/>
      <c r="B33" s="330"/>
      <c r="C33" s="325"/>
      <c r="D33" s="326"/>
      <c r="E33" s="327"/>
      <c r="F33" s="328"/>
      <c r="G33" s="148">
        <f t="shared" si="1"/>
        <v>0</v>
      </c>
      <c r="H33" s="335">
        <v>0.27</v>
      </c>
      <c r="I33" s="174">
        <f t="shared" si="3"/>
        <v>0</v>
      </c>
      <c r="J33" s="106">
        <f t="shared" si="4"/>
        <v>0</v>
      </c>
      <c r="K33" s="107">
        <f t="shared" si="2"/>
        <v>0</v>
      </c>
      <c r="L33" s="336"/>
      <c r="M33" s="109">
        <f t="shared" si="5"/>
        <v>0</v>
      </c>
      <c r="N33" s="336"/>
      <c r="O33" s="109">
        <f t="shared" si="6"/>
        <v>0</v>
      </c>
      <c r="P33" s="336"/>
      <c r="Q33" s="217">
        <f t="shared" si="0"/>
        <v>0</v>
      </c>
      <c r="R33" s="388"/>
    </row>
    <row r="34" spans="1:18" ht="12.75">
      <c r="A34" s="329"/>
      <c r="B34" s="330"/>
      <c r="C34" s="325"/>
      <c r="D34" s="326"/>
      <c r="E34" s="327"/>
      <c r="F34" s="328"/>
      <c r="G34" s="148">
        <f t="shared" si="1"/>
        <v>0</v>
      </c>
      <c r="H34" s="335">
        <v>0.27</v>
      </c>
      <c r="I34" s="174">
        <f t="shared" si="3"/>
        <v>0</v>
      </c>
      <c r="J34" s="106">
        <f t="shared" si="4"/>
        <v>0</v>
      </c>
      <c r="K34" s="107">
        <f t="shared" si="2"/>
        <v>0</v>
      </c>
      <c r="L34" s="336"/>
      <c r="M34" s="109">
        <f t="shared" si="5"/>
        <v>0</v>
      </c>
      <c r="N34" s="336"/>
      <c r="O34" s="109">
        <f t="shared" si="6"/>
        <v>0</v>
      </c>
      <c r="P34" s="336"/>
      <c r="Q34" s="217">
        <f t="shared" si="0"/>
        <v>0</v>
      </c>
      <c r="R34" s="388"/>
    </row>
    <row r="35" spans="1:18" ht="12.75">
      <c r="A35" s="329"/>
      <c r="B35" s="330"/>
      <c r="C35" s="325"/>
      <c r="D35" s="326"/>
      <c r="E35" s="327"/>
      <c r="F35" s="328"/>
      <c r="G35" s="148">
        <f t="shared" si="1"/>
        <v>0</v>
      </c>
      <c r="H35" s="335">
        <v>0.27</v>
      </c>
      <c r="I35" s="174">
        <f t="shared" si="3"/>
        <v>0</v>
      </c>
      <c r="J35" s="106">
        <f t="shared" si="4"/>
        <v>0</v>
      </c>
      <c r="K35" s="107">
        <f t="shared" si="2"/>
        <v>0</v>
      </c>
      <c r="L35" s="336"/>
      <c r="M35" s="109">
        <f t="shared" si="5"/>
        <v>0</v>
      </c>
      <c r="N35" s="336"/>
      <c r="O35" s="109">
        <f t="shared" si="6"/>
        <v>0</v>
      </c>
      <c r="P35" s="336"/>
      <c r="Q35" s="217">
        <f t="shared" si="0"/>
        <v>0</v>
      </c>
      <c r="R35" s="388"/>
    </row>
    <row r="36" spans="1:18" ht="12.75">
      <c r="A36" s="329"/>
      <c r="B36" s="330"/>
      <c r="C36" s="325"/>
      <c r="D36" s="326"/>
      <c r="E36" s="327"/>
      <c r="F36" s="328"/>
      <c r="G36" s="148">
        <f t="shared" si="1"/>
        <v>0</v>
      </c>
      <c r="H36" s="335">
        <v>0.27</v>
      </c>
      <c r="I36" s="174">
        <f t="shared" si="3"/>
        <v>0</v>
      </c>
      <c r="J36" s="106">
        <f t="shared" si="4"/>
        <v>0</v>
      </c>
      <c r="K36" s="107">
        <f t="shared" si="2"/>
        <v>0</v>
      </c>
      <c r="L36" s="336"/>
      <c r="M36" s="109">
        <f t="shared" si="5"/>
        <v>0</v>
      </c>
      <c r="N36" s="336"/>
      <c r="O36" s="109">
        <f t="shared" si="6"/>
        <v>0</v>
      </c>
      <c r="P36" s="336"/>
      <c r="Q36" s="217">
        <f t="shared" si="0"/>
        <v>0</v>
      </c>
      <c r="R36" s="388"/>
    </row>
    <row r="37" spans="1:18" ht="12.75">
      <c r="A37" s="329"/>
      <c r="B37" s="330"/>
      <c r="C37" s="325"/>
      <c r="D37" s="326"/>
      <c r="E37" s="327"/>
      <c r="F37" s="328"/>
      <c r="G37" s="148">
        <f t="shared" si="1"/>
        <v>0</v>
      </c>
      <c r="H37" s="335">
        <v>0.27</v>
      </c>
      <c r="I37" s="174">
        <f t="shared" si="3"/>
        <v>0</v>
      </c>
      <c r="J37" s="106">
        <f t="shared" si="4"/>
        <v>0</v>
      </c>
      <c r="K37" s="107">
        <f t="shared" si="2"/>
        <v>0</v>
      </c>
      <c r="L37" s="336"/>
      <c r="M37" s="109">
        <f t="shared" si="5"/>
        <v>0</v>
      </c>
      <c r="N37" s="336"/>
      <c r="O37" s="109">
        <f t="shared" si="6"/>
        <v>0</v>
      </c>
      <c r="P37" s="336"/>
      <c r="Q37" s="217">
        <f t="shared" si="0"/>
        <v>0</v>
      </c>
      <c r="R37" s="388"/>
    </row>
    <row r="38" spans="1:18" ht="12.75">
      <c r="A38" s="329"/>
      <c r="B38" s="330"/>
      <c r="C38" s="325"/>
      <c r="D38" s="326"/>
      <c r="E38" s="327"/>
      <c r="F38" s="328"/>
      <c r="G38" s="148">
        <f t="shared" si="1"/>
        <v>0</v>
      </c>
      <c r="H38" s="335">
        <v>0.27</v>
      </c>
      <c r="I38" s="174">
        <f t="shared" si="3"/>
        <v>0</v>
      </c>
      <c r="J38" s="106">
        <f t="shared" si="4"/>
        <v>0</v>
      </c>
      <c r="K38" s="107">
        <f t="shared" si="2"/>
        <v>0</v>
      </c>
      <c r="L38" s="336"/>
      <c r="M38" s="109">
        <f t="shared" si="5"/>
        <v>0</v>
      </c>
      <c r="N38" s="336"/>
      <c r="O38" s="109">
        <f t="shared" si="6"/>
        <v>0</v>
      </c>
      <c r="P38" s="336"/>
      <c r="Q38" s="217">
        <f t="shared" si="0"/>
        <v>0</v>
      </c>
      <c r="R38" s="388"/>
    </row>
    <row r="39" spans="1:18" ht="12.75">
      <c r="A39" s="329"/>
      <c r="B39" s="330"/>
      <c r="C39" s="325"/>
      <c r="D39" s="326"/>
      <c r="E39" s="327"/>
      <c r="F39" s="328"/>
      <c r="G39" s="148">
        <f t="shared" si="1"/>
        <v>0</v>
      </c>
      <c r="H39" s="335">
        <v>0.27</v>
      </c>
      <c r="I39" s="174">
        <f t="shared" si="3"/>
        <v>0</v>
      </c>
      <c r="J39" s="106">
        <f t="shared" si="4"/>
        <v>0</v>
      </c>
      <c r="K39" s="107">
        <f t="shared" si="2"/>
        <v>0</v>
      </c>
      <c r="L39" s="336"/>
      <c r="M39" s="109">
        <f t="shared" si="5"/>
        <v>0</v>
      </c>
      <c r="N39" s="336"/>
      <c r="O39" s="109">
        <f t="shared" si="6"/>
        <v>0</v>
      </c>
      <c r="P39" s="336"/>
      <c r="Q39" s="217">
        <f t="shared" si="0"/>
        <v>0</v>
      </c>
      <c r="R39" s="388"/>
    </row>
    <row r="40" spans="1:18" ht="12.75">
      <c r="A40" s="329"/>
      <c r="B40" s="330"/>
      <c r="C40" s="325"/>
      <c r="D40" s="326"/>
      <c r="E40" s="327"/>
      <c r="F40" s="328"/>
      <c r="G40" s="148">
        <f t="shared" si="1"/>
        <v>0</v>
      </c>
      <c r="H40" s="335">
        <v>0.27</v>
      </c>
      <c r="I40" s="174">
        <f t="shared" si="3"/>
        <v>0</v>
      </c>
      <c r="J40" s="106">
        <f t="shared" si="4"/>
        <v>0</v>
      </c>
      <c r="K40" s="107">
        <f t="shared" si="2"/>
        <v>0</v>
      </c>
      <c r="L40" s="336"/>
      <c r="M40" s="109">
        <f t="shared" si="5"/>
        <v>0</v>
      </c>
      <c r="N40" s="336"/>
      <c r="O40" s="109">
        <f t="shared" si="6"/>
        <v>0</v>
      </c>
      <c r="P40" s="336"/>
      <c r="Q40" s="217">
        <f t="shared" si="0"/>
        <v>0</v>
      </c>
      <c r="R40" s="388"/>
    </row>
    <row r="41" spans="1:18" ht="12.75">
      <c r="A41" s="329"/>
      <c r="B41" s="330"/>
      <c r="C41" s="325"/>
      <c r="D41" s="326"/>
      <c r="E41" s="327"/>
      <c r="F41" s="328"/>
      <c r="G41" s="148">
        <f t="shared" si="1"/>
        <v>0</v>
      </c>
      <c r="H41" s="335">
        <v>0.27</v>
      </c>
      <c r="I41" s="174">
        <f t="shared" si="3"/>
        <v>0</v>
      </c>
      <c r="J41" s="106">
        <f t="shared" si="4"/>
        <v>0</v>
      </c>
      <c r="K41" s="107">
        <f t="shared" si="2"/>
        <v>0</v>
      </c>
      <c r="L41" s="336"/>
      <c r="M41" s="109">
        <f t="shared" si="5"/>
        <v>0</v>
      </c>
      <c r="N41" s="336"/>
      <c r="O41" s="109">
        <f t="shared" si="6"/>
        <v>0</v>
      </c>
      <c r="P41" s="336"/>
      <c r="Q41" s="217">
        <f t="shared" si="0"/>
        <v>0</v>
      </c>
      <c r="R41" s="388"/>
    </row>
    <row r="42" spans="1:18" ht="12.75">
      <c r="A42" s="329"/>
      <c r="B42" s="330"/>
      <c r="C42" s="325"/>
      <c r="D42" s="326"/>
      <c r="E42" s="327"/>
      <c r="F42" s="328"/>
      <c r="G42" s="148">
        <f t="shared" si="1"/>
        <v>0</v>
      </c>
      <c r="H42" s="335">
        <v>0.27</v>
      </c>
      <c r="I42" s="174">
        <f t="shared" si="3"/>
        <v>0</v>
      </c>
      <c r="J42" s="106">
        <f t="shared" si="4"/>
        <v>0</v>
      </c>
      <c r="K42" s="107">
        <f t="shared" si="2"/>
        <v>0</v>
      </c>
      <c r="L42" s="336"/>
      <c r="M42" s="109">
        <f t="shared" si="5"/>
        <v>0</v>
      </c>
      <c r="N42" s="336"/>
      <c r="O42" s="109">
        <f t="shared" si="6"/>
        <v>0</v>
      </c>
      <c r="P42" s="336"/>
      <c r="Q42" s="217">
        <f t="shared" si="0"/>
        <v>0</v>
      </c>
      <c r="R42" s="388"/>
    </row>
    <row r="43" spans="1:18" ht="12.75">
      <c r="A43" s="329"/>
      <c r="B43" s="330"/>
      <c r="C43" s="325"/>
      <c r="D43" s="326"/>
      <c r="E43" s="327"/>
      <c r="F43" s="328"/>
      <c r="G43" s="148">
        <f t="shared" si="1"/>
        <v>0</v>
      </c>
      <c r="H43" s="335">
        <v>0.27</v>
      </c>
      <c r="I43" s="174">
        <f t="shared" si="3"/>
        <v>0</v>
      </c>
      <c r="J43" s="106">
        <f t="shared" si="4"/>
        <v>0</v>
      </c>
      <c r="K43" s="107">
        <f t="shared" si="2"/>
        <v>0</v>
      </c>
      <c r="L43" s="336"/>
      <c r="M43" s="109">
        <f t="shared" si="5"/>
        <v>0</v>
      </c>
      <c r="N43" s="336"/>
      <c r="O43" s="109">
        <f t="shared" si="6"/>
        <v>0</v>
      </c>
      <c r="P43" s="336"/>
      <c r="Q43" s="217">
        <f t="shared" si="0"/>
        <v>0</v>
      </c>
      <c r="R43" s="388"/>
    </row>
    <row r="44" spans="1:18" ht="12.75">
      <c r="A44" s="329"/>
      <c r="B44" s="330"/>
      <c r="C44" s="325"/>
      <c r="D44" s="326"/>
      <c r="E44" s="327"/>
      <c r="F44" s="328"/>
      <c r="G44" s="148">
        <f t="shared" si="1"/>
        <v>0</v>
      </c>
      <c r="H44" s="335">
        <v>0.27</v>
      </c>
      <c r="I44" s="174">
        <f t="shared" si="3"/>
        <v>0</v>
      </c>
      <c r="J44" s="106">
        <f t="shared" si="4"/>
        <v>0</v>
      </c>
      <c r="K44" s="107">
        <f t="shared" si="2"/>
        <v>0</v>
      </c>
      <c r="L44" s="336"/>
      <c r="M44" s="109">
        <f t="shared" si="5"/>
        <v>0</v>
      </c>
      <c r="N44" s="336"/>
      <c r="O44" s="109">
        <f t="shared" si="6"/>
        <v>0</v>
      </c>
      <c r="P44" s="336"/>
      <c r="Q44" s="217">
        <f t="shared" si="0"/>
        <v>0</v>
      </c>
      <c r="R44" s="388"/>
    </row>
    <row r="45" spans="1:18" ht="12.75">
      <c r="A45" s="329"/>
      <c r="B45" s="330"/>
      <c r="C45" s="325"/>
      <c r="D45" s="326"/>
      <c r="E45" s="327"/>
      <c r="F45" s="328"/>
      <c r="G45" s="148">
        <f t="shared" si="1"/>
        <v>0</v>
      </c>
      <c r="H45" s="335">
        <v>0.27</v>
      </c>
      <c r="I45" s="174">
        <f t="shared" si="3"/>
        <v>0</v>
      </c>
      <c r="J45" s="106">
        <f t="shared" si="4"/>
        <v>0</v>
      </c>
      <c r="K45" s="107">
        <f t="shared" si="2"/>
        <v>0</v>
      </c>
      <c r="L45" s="336"/>
      <c r="M45" s="109">
        <f t="shared" si="5"/>
        <v>0</v>
      </c>
      <c r="N45" s="336"/>
      <c r="O45" s="109">
        <f t="shared" si="6"/>
        <v>0</v>
      </c>
      <c r="P45" s="336"/>
      <c r="Q45" s="217">
        <f t="shared" si="0"/>
        <v>0</v>
      </c>
      <c r="R45" s="388"/>
    </row>
    <row r="46" spans="1:18" ht="12.75">
      <c r="A46" s="329"/>
      <c r="B46" s="330"/>
      <c r="C46" s="325"/>
      <c r="D46" s="326"/>
      <c r="E46" s="327"/>
      <c r="F46" s="328"/>
      <c r="G46" s="148">
        <f t="shared" si="1"/>
        <v>0</v>
      </c>
      <c r="H46" s="335">
        <v>0.27</v>
      </c>
      <c r="I46" s="174">
        <f t="shared" si="3"/>
        <v>0</v>
      </c>
      <c r="J46" s="106">
        <f t="shared" si="4"/>
        <v>0</v>
      </c>
      <c r="K46" s="107">
        <f t="shared" si="2"/>
        <v>0</v>
      </c>
      <c r="L46" s="336"/>
      <c r="M46" s="109">
        <f t="shared" si="5"/>
        <v>0</v>
      </c>
      <c r="N46" s="336"/>
      <c r="O46" s="109">
        <f t="shared" si="6"/>
        <v>0</v>
      </c>
      <c r="P46" s="336"/>
      <c r="Q46" s="217">
        <f t="shared" si="0"/>
        <v>0</v>
      </c>
      <c r="R46" s="388"/>
    </row>
    <row r="47" spans="1:18" ht="12.75">
      <c r="A47" s="331"/>
      <c r="B47" s="332"/>
      <c r="C47" s="333"/>
      <c r="D47" s="334"/>
      <c r="E47" s="327"/>
      <c r="F47" s="328"/>
      <c r="G47" s="148">
        <f t="shared" si="1"/>
        <v>0</v>
      </c>
      <c r="H47" s="335">
        <v>0.27</v>
      </c>
      <c r="I47" s="174">
        <f t="shared" si="3"/>
        <v>0</v>
      </c>
      <c r="J47" s="106">
        <f t="shared" si="4"/>
        <v>0</v>
      </c>
      <c r="K47" s="107">
        <f t="shared" si="2"/>
        <v>0</v>
      </c>
      <c r="L47" s="337"/>
      <c r="M47" s="109">
        <f t="shared" si="5"/>
        <v>0</v>
      </c>
      <c r="N47" s="337"/>
      <c r="O47" s="109">
        <f t="shared" si="6"/>
        <v>0</v>
      </c>
      <c r="P47" s="337"/>
      <c r="Q47" s="217">
        <f t="shared" si="0"/>
        <v>0</v>
      </c>
      <c r="R47" s="389"/>
    </row>
    <row r="48" spans="1:18" ht="12.75">
      <c r="A48" s="78"/>
      <c r="B48" s="78"/>
      <c r="C48" s="383"/>
      <c r="D48" s="418" t="s">
        <v>62</v>
      </c>
      <c r="E48" s="396">
        <f>SUM(E14:E47)</f>
        <v>0</v>
      </c>
      <c r="F48" s="397"/>
      <c r="G48" s="398">
        <f>SUM(G14:G47)</f>
        <v>0</v>
      </c>
      <c r="H48" s="398"/>
      <c r="I48" s="398">
        <f>SUM(I14:I47)</f>
        <v>0</v>
      </c>
      <c r="J48" s="399">
        <f>SUM(J14:J47)</f>
        <v>0</v>
      </c>
      <c r="K48" s="398">
        <f>SUM(K14:K47)</f>
        <v>0</v>
      </c>
      <c r="L48" s="400"/>
      <c r="M48" s="398">
        <f>SUM(M14:M47)</f>
        <v>0</v>
      </c>
      <c r="N48" s="401"/>
      <c r="O48" s="398">
        <f>SUM(O14:O47)</f>
        <v>0</v>
      </c>
      <c r="P48" s="402"/>
      <c r="Q48" s="403"/>
      <c r="R48" s="403"/>
    </row>
    <row r="49" spans="11:17" ht="12.75">
      <c r="K49" s="448" t="s">
        <v>61</v>
      </c>
      <c r="L49" s="449"/>
      <c r="M49" s="448"/>
      <c r="N49" s="448"/>
      <c r="O49" s="60"/>
      <c r="P49" s="60"/>
      <c r="Q49" s="60"/>
    </row>
    <row r="51" spans="1:3" ht="13.5">
      <c r="A51" s="241" t="s">
        <v>151</v>
      </c>
      <c r="B51" s="5"/>
      <c r="C51"/>
    </row>
    <row r="52" spans="1:6" ht="12.75">
      <c r="A52" s="1" t="s">
        <v>152</v>
      </c>
      <c r="B52" s="238"/>
      <c r="C52" s="1"/>
      <c r="D52" s="1"/>
      <c r="E52" s="1"/>
      <c r="F52" s="1"/>
    </row>
    <row r="53" spans="1:6" ht="12.75">
      <c r="A53" s="1" t="s">
        <v>205</v>
      </c>
      <c r="B53" s="1"/>
      <c r="C53" s="1"/>
      <c r="D53" s="1"/>
      <c r="E53" s="1"/>
      <c r="F53" s="1"/>
    </row>
    <row r="54" spans="1:6" ht="13.5">
      <c r="A54" s="170" t="s">
        <v>201</v>
      </c>
      <c r="B54" s="239"/>
      <c r="C54" s="239"/>
      <c r="D54" s="239"/>
      <c r="E54" s="239"/>
      <c r="F54" s="239"/>
    </row>
    <row r="55" spans="1:4" ht="15.75">
      <c r="A55" s="169" t="s">
        <v>198</v>
      </c>
      <c r="B55" s="169"/>
      <c r="C55" s="169"/>
      <c r="D55" s="240"/>
    </row>
    <row r="56" spans="3:4" ht="15" thickBot="1">
      <c r="C56" s="421" t="s">
        <v>222</v>
      </c>
      <c r="D56" s="422"/>
    </row>
    <row r="57" spans="2:4" ht="13.5">
      <c r="B57" s="250" t="s">
        <v>199</v>
      </c>
      <c r="C57" s="423">
        <v>0.27</v>
      </c>
      <c r="D57" s="385"/>
    </row>
    <row r="58" spans="2:4" ht="13.5">
      <c r="B58" s="250" t="s">
        <v>200</v>
      </c>
      <c r="C58" s="385">
        <v>0.24</v>
      </c>
      <c r="D58" s="385"/>
    </row>
    <row r="59" spans="1:4" ht="13.5">
      <c r="A59" s="450" t="s">
        <v>217</v>
      </c>
      <c r="B59" s="450"/>
      <c r="C59" s="385">
        <v>0.088</v>
      </c>
      <c r="D59" s="385"/>
    </row>
    <row r="60" spans="2:4" ht="13.5">
      <c r="B60" s="250" t="s">
        <v>206</v>
      </c>
      <c r="C60" s="385">
        <v>0.312</v>
      </c>
      <c r="D60" s="427"/>
    </row>
    <row r="61" ht="12.75">
      <c r="A61" s="158"/>
    </row>
  </sheetData>
  <sheetProtection password="CFCA" sheet="1" objects="1" scenarios="1"/>
  <mergeCells count="12">
    <mergeCell ref="A59:B59"/>
    <mergeCell ref="A3:R3"/>
    <mergeCell ref="A4:R4"/>
    <mergeCell ref="K10:L10"/>
    <mergeCell ref="M10:N10"/>
    <mergeCell ref="O10:P10"/>
    <mergeCell ref="K9:P9"/>
    <mergeCell ref="K8:P8"/>
    <mergeCell ref="G5:H5"/>
    <mergeCell ref="H10:I10"/>
    <mergeCell ref="R12:R13"/>
    <mergeCell ref="K49:N49"/>
  </mergeCells>
  <conditionalFormatting sqref="Q14">
    <cfRule type="cellIs" priority="6" dxfId="0" operator="greaterThan" stopIfTrue="1">
      <formula>1</formula>
    </cfRule>
    <cfRule type="cellIs" priority="7" dxfId="0" operator="greaterThan" stopIfTrue="1">
      <formula>1</formula>
    </cfRule>
    <cfRule type="cellIs" priority="9" dxfId="0" operator="greaterThan" stopIfTrue="1">
      <formula>1</formula>
    </cfRule>
    <cfRule type="cellIs" priority="10" dxfId="0" operator="greaterThan" stopIfTrue="1">
      <formula>1</formula>
    </cfRule>
    <cfRule type="cellIs" priority="11" dxfId="0" operator="greaterThan" stopIfTrue="1">
      <formula>1</formula>
    </cfRule>
  </conditionalFormatting>
  <conditionalFormatting sqref="Q14:Q47">
    <cfRule type="cellIs" priority="8" dxfId="0" operator="greaterThan" stopIfTrue="1">
      <formula>1</formula>
    </cfRule>
  </conditionalFormatting>
  <conditionalFormatting sqref="Q15:Q47">
    <cfRule type="cellIs" priority="5" dxfId="0" operator="greaterThan" stopIfTrue="1">
      <formula>100</formula>
    </cfRule>
  </conditionalFormatting>
  <conditionalFormatting sqref="Q13">
    <cfRule type="cellIs" priority="2" dxfId="0" operator="greaterThan" stopIfTrue="1">
      <formula>1</formula>
    </cfRule>
  </conditionalFormatting>
  <conditionalFormatting sqref="Q13">
    <cfRule type="cellIs" priority="1" dxfId="0" operator="greaterThan" stopIfTrue="1">
      <formula>100</formula>
    </cfRule>
  </conditionalFormatting>
  <dataValidations count="2">
    <dataValidation type="decimal" showInputMessage="1" showErrorMessage="1" promptTitle="Effort %" prompt="Do not exceed 100%" errorTitle="Effort %" error="Effort % can not exceed 100%" sqref="F13:F47">
      <formula1>0</formula1>
      <formula2>1</formula2>
    </dataValidation>
    <dataValidation type="whole" allowBlank="1" showInputMessage="1" showErrorMessage="1" prompt="The current NIH Salary Cap is $185,100.   The effective date is 1/10/2016." errorTitle="NIH Salary Cap" error="Use NIH Salary Cap of $185,100.&#10;The effective date is 1/10/2016." sqref="E13:E47">
      <formula1>0</formula1>
      <formula2>185100</formula2>
    </dataValidation>
  </dataValidations>
  <printOptions gridLines="1"/>
  <pageMargins left="0.5" right="0.5" top="1" bottom="1" header="0.5" footer="0.5"/>
  <pageSetup fitToHeight="1" fitToWidth="1" horizontalDpi="600" verticalDpi="600" orientation="landscape" scale="55"/>
  <headerFooter alignWithMargins="0">
    <oddHeader>&amp;R&amp;"Arial,Bold"
</oddHeader>
    <oddFooter>&amp;LPrinted:&amp;D&amp;C&amp;F
&amp;A&amp;R3 Services FY 2017
Service Center Rate Cal Worksheet
Revised 6/28/16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9"/>
  <sheetViews>
    <sheetView zoomScalePageLayoutView="0" workbookViewId="0" topLeftCell="A1">
      <selection activeCell="L7" sqref="L7"/>
    </sheetView>
  </sheetViews>
  <sheetFormatPr defaultColWidth="8.8515625" defaultRowHeight="12.75"/>
  <cols>
    <col min="1" max="1" width="29.421875" style="0" customWidth="1"/>
    <col min="2" max="2" width="15.421875" style="0" customWidth="1"/>
    <col min="3" max="4" width="11.28125" style="0" bestFit="1" customWidth="1"/>
    <col min="5" max="5" width="6.28125" style="0" customWidth="1"/>
    <col min="6" max="6" width="11.28125" style="0" bestFit="1" customWidth="1"/>
    <col min="7" max="7" width="6.28125" style="0" customWidth="1"/>
    <col min="8" max="8" width="11.421875" style="0" customWidth="1"/>
    <col min="9" max="9" width="5.7109375" style="0" bestFit="1" customWidth="1"/>
    <col min="10" max="10" width="6.28125" style="0" customWidth="1"/>
    <col min="11" max="11" width="17.7109375" style="0" customWidth="1"/>
  </cols>
  <sheetData>
    <row r="1" spans="1:10" ht="15">
      <c r="A1" s="102" t="s">
        <v>143</v>
      </c>
      <c r="B1" s="313">
        <f>'Salary and Wage'!B1</f>
        <v>0</v>
      </c>
      <c r="C1" s="289"/>
      <c r="D1" s="5"/>
      <c r="E1" s="102" t="s">
        <v>142</v>
      </c>
      <c r="F1" s="290">
        <f>'Salary and Wage'!F1</f>
        <v>0</v>
      </c>
      <c r="G1" s="290"/>
      <c r="H1" s="181"/>
      <c r="I1" s="181"/>
      <c r="J1" s="180"/>
    </row>
    <row r="2" spans="1:9" ht="15" customHeight="1">
      <c r="A2" s="102"/>
      <c r="B2" s="2"/>
      <c r="C2" s="2"/>
      <c r="D2" s="5"/>
      <c r="E2" s="102"/>
      <c r="F2" s="2"/>
      <c r="G2" s="2"/>
      <c r="H2" s="2"/>
      <c r="I2" s="2"/>
    </row>
    <row r="3" spans="1:14" s="8" customFormat="1" ht="31.5">
      <c r="A3" s="436" t="s">
        <v>146</v>
      </c>
      <c r="B3" s="436"/>
      <c r="C3" s="436"/>
      <c r="D3" s="436"/>
      <c r="E3" s="436"/>
      <c r="F3" s="436"/>
      <c r="G3" s="436"/>
      <c r="H3" s="436"/>
      <c r="I3" s="436"/>
      <c r="J3" s="436"/>
      <c r="K3" s="436"/>
      <c r="L3" s="20"/>
      <c r="M3" s="20"/>
      <c r="N3" s="20"/>
    </row>
    <row r="4" spans="1:14" s="23" customFormat="1" ht="18">
      <c r="A4" s="437" t="s">
        <v>99</v>
      </c>
      <c r="B4" s="437"/>
      <c r="C4" s="437"/>
      <c r="D4" s="437"/>
      <c r="E4" s="437"/>
      <c r="F4" s="437"/>
      <c r="G4" s="437"/>
      <c r="H4" s="437"/>
      <c r="I4" s="437"/>
      <c r="J4" s="437"/>
      <c r="K4" s="437"/>
      <c r="L4" s="22"/>
      <c r="M4" s="22"/>
      <c r="N4" s="22"/>
    </row>
    <row r="5" spans="1:14" s="23" customFormat="1" ht="18">
      <c r="A5" s="22"/>
      <c r="B5" s="22"/>
      <c r="C5" s="437" t="s">
        <v>225</v>
      </c>
      <c r="D5" s="437"/>
      <c r="E5" s="437"/>
      <c r="F5" s="437"/>
      <c r="G5" s="22"/>
      <c r="H5" s="22"/>
      <c r="I5" s="22"/>
      <c r="J5" s="22"/>
      <c r="K5" s="22"/>
      <c r="L5" s="22"/>
      <c r="M5" s="22"/>
      <c r="N5" s="22"/>
    </row>
    <row r="6" spans="1:14" s="23" customFormat="1" ht="18">
      <c r="A6" s="22"/>
      <c r="B6" s="22"/>
      <c r="C6" s="22"/>
      <c r="D6" s="22"/>
      <c r="E6" s="22"/>
      <c r="F6" s="22"/>
      <c r="G6" s="22"/>
      <c r="H6" s="22"/>
      <c r="I6" s="22"/>
      <c r="J6" s="22"/>
      <c r="K6" s="22"/>
      <c r="L6" s="22"/>
      <c r="M6" s="22"/>
      <c r="N6" s="22"/>
    </row>
    <row r="7" spans="1:20" s="23" customFormat="1" ht="18">
      <c r="A7" s="322"/>
      <c r="B7" s="21" t="s">
        <v>204</v>
      </c>
      <c r="C7" s="22"/>
      <c r="D7" s="22"/>
      <c r="E7" s="22"/>
      <c r="F7" s="22"/>
      <c r="G7" s="22"/>
      <c r="H7" s="22"/>
      <c r="I7" s="22"/>
      <c r="J7" s="22"/>
      <c r="K7" s="22"/>
      <c r="L7" s="22"/>
      <c r="M7" s="22"/>
      <c r="N7" s="22"/>
      <c r="O7" s="22"/>
      <c r="P7" s="22"/>
      <c r="Q7" s="22"/>
      <c r="R7" s="22"/>
      <c r="S7" s="22"/>
      <c r="T7" s="22"/>
    </row>
    <row r="8" spans="1:14" s="23" customFormat="1" ht="18.75" thickBot="1">
      <c r="A8" s="22"/>
      <c r="B8" s="22"/>
      <c r="C8" s="22"/>
      <c r="D8" s="22"/>
      <c r="E8" s="22"/>
      <c r="F8" s="22"/>
      <c r="G8" s="22"/>
      <c r="H8" s="22"/>
      <c r="I8" s="22"/>
      <c r="J8" s="22"/>
      <c r="K8" s="22"/>
      <c r="L8" s="22"/>
      <c r="M8" s="22"/>
      <c r="N8" s="22"/>
    </row>
    <row r="9" spans="1:11" s="8" customFormat="1" ht="12.75">
      <c r="A9" s="178"/>
      <c r="B9" s="419"/>
      <c r="C9" s="48"/>
      <c r="D9" s="443" t="s">
        <v>56</v>
      </c>
      <c r="E9" s="444"/>
      <c r="F9" s="444"/>
      <c r="G9" s="444"/>
      <c r="H9" s="444"/>
      <c r="I9" s="444"/>
      <c r="J9" s="202"/>
      <c r="K9" s="28"/>
    </row>
    <row r="10" spans="1:11" s="8" customFormat="1" ht="12.75">
      <c r="A10" s="206"/>
      <c r="B10" s="420"/>
      <c r="C10" s="84"/>
      <c r="D10" s="440" t="s">
        <v>112</v>
      </c>
      <c r="E10" s="441"/>
      <c r="F10" s="441"/>
      <c r="G10" s="441"/>
      <c r="H10" s="441"/>
      <c r="I10" s="441"/>
      <c r="J10" s="207"/>
      <c r="K10" s="187"/>
    </row>
    <row r="11" spans="1:11" s="8" customFormat="1" ht="49.5" customHeight="1" thickBot="1">
      <c r="A11" s="206"/>
      <c r="B11" s="420"/>
      <c r="C11" s="84"/>
      <c r="D11" s="453">
        <f>+'Forecasted Usage'!B14</f>
        <v>0</v>
      </c>
      <c r="E11" s="454"/>
      <c r="F11" s="453">
        <f>+'Forecasted Usage'!B15</f>
        <v>0</v>
      </c>
      <c r="G11" s="454"/>
      <c r="H11" s="456">
        <f>+'Forecasted Usage'!B16</f>
        <v>0</v>
      </c>
      <c r="I11" s="454"/>
      <c r="J11" s="207"/>
      <c r="K11" s="187"/>
    </row>
    <row r="12" spans="1:11" s="8" customFormat="1" ht="27" thickBot="1">
      <c r="A12" s="179" t="s">
        <v>100</v>
      </c>
      <c r="B12" s="114" t="s">
        <v>220</v>
      </c>
      <c r="C12" s="114" t="s">
        <v>0</v>
      </c>
      <c r="D12" s="235" t="s">
        <v>162</v>
      </c>
      <c r="E12" s="146" t="s">
        <v>57</v>
      </c>
      <c r="F12" s="235" t="s">
        <v>163</v>
      </c>
      <c r="G12" s="146" t="s">
        <v>57</v>
      </c>
      <c r="H12" s="428" t="s">
        <v>164</v>
      </c>
      <c r="I12" s="50" t="s">
        <v>57</v>
      </c>
      <c r="J12" s="412" t="s">
        <v>78</v>
      </c>
      <c r="K12" s="16" t="s">
        <v>59</v>
      </c>
    </row>
    <row r="13" spans="1:11" s="18" customFormat="1" ht="10.5" customHeight="1">
      <c r="A13" s="213" t="s">
        <v>92</v>
      </c>
      <c r="B13" s="214"/>
      <c r="C13" s="215"/>
      <c r="D13" s="216"/>
      <c r="E13" s="217"/>
      <c r="F13" s="216"/>
      <c r="G13" s="217"/>
      <c r="H13" s="56"/>
      <c r="I13" s="56"/>
      <c r="J13" s="415"/>
      <c r="K13" s="446" t="s">
        <v>218</v>
      </c>
    </row>
    <row r="14" spans="1:11" s="18" customFormat="1" ht="10.5" customHeight="1">
      <c r="A14" s="213" t="s">
        <v>77</v>
      </c>
      <c r="B14" s="231" t="s">
        <v>221</v>
      </c>
      <c r="C14" s="263">
        <v>5000</v>
      </c>
      <c r="D14" s="265">
        <f>C14*E14</f>
        <v>5000</v>
      </c>
      <c r="E14" s="217">
        <v>1</v>
      </c>
      <c r="F14" s="120">
        <f>C14*G14</f>
        <v>0</v>
      </c>
      <c r="G14" s="217">
        <v>0</v>
      </c>
      <c r="H14" s="265">
        <f>C14*I14</f>
        <v>0</v>
      </c>
      <c r="I14" s="56">
        <v>0</v>
      </c>
      <c r="J14" s="416">
        <f>SUM(E14,G14,I14)</f>
        <v>1</v>
      </c>
      <c r="K14" s="455"/>
    </row>
    <row r="15" spans="1:11" s="18" customFormat="1" ht="10.5" customHeight="1" thickBot="1">
      <c r="A15" s="218" t="s">
        <v>101</v>
      </c>
      <c r="B15" s="309" t="s">
        <v>221</v>
      </c>
      <c r="C15" s="264">
        <v>1200</v>
      </c>
      <c r="D15" s="266">
        <f>C15*E15</f>
        <v>600</v>
      </c>
      <c r="E15" s="219">
        <v>0.5</v>
      </c>
      <c r="F15" s="142">
        <f>C15*G15</f>
        <v>600</v>
      </c>
      <c r="G15" s="219">
        <v>0.5</v>
      </c>
      <c r="H15" s="142">
        <f>C15*I15</f>
        <v>0</v>
      </c>
      <c r="I15" s="414">
        <v>0</v>
      </c>
      <c r="J15" s="431">
        <f>SUM(E15,G15,I15)</f>
        <v>1</v>
      </c>
      <c r="K15" s="447"/>
    </row>
    <row r="16" spans="1:11" ht="12.75">
      <c r="A16" s="338"/>
      <c r="B16" s="326"/>
      <c r="C16" s="339"/>
      <c r="D16" s="208">
        <f aca="true" t="shared" si="0" ref="D16:D30">C16*E16</f>
        <v>0</v>
      </c>
      <c r="E16" s="345"/>
      <c r="F16" s="122">
        <f aca="true" t="shared" si="1" ref="F16:F30">$C16*G16</f>
        <v>0</v>
      </c>
      <c r="G16" s="345"/>
      <c r="H16" s="122">
        <f aca="true" t="shared" si="2" ref="H16:H30">$C16*I16</f>
        <v>0</v>
      </c>
      <c r="I16" s="348"/>
      <c r="J16" s="217">
        <f>SUM(E16,G16,I16)</f>
        <v>0</v>
      </c>
      <c r="K16" s="404"/>
    </row>
    <row r="17" spans="1:11" ht="12.75">
      <c r="A17" s="340"/>
      <c r="B17" s="326"/>
      <c r="C17" s="339"/>
      <c r="D17" s="125">
        <f t="shared" si="0"/>
        <v>0</v>
      </c>
      <c r="E17" s="345"/>
      <c r="F17" s="122">
        <f t="shared" si="1"/>
        <v>0</v>
      </c>
      <c r="G17" s="345"/>
      <c r="H17" s="122">
        <f t="shared" si="2"/>
        <v>0</v>
      </c>
      <c r="I17" s="345"/>
      <c r="J17" s="217">
        <f aca="true" t="shared" si="3" ref="J17:J30">SUM(E17,G17,I17)</f>
        <v>0</v>
      </c>
      <c r="K17" s="404"/>
    </row>
    <row r="18" spans="1:11" ht="12.75">
      <c r="A18" s="338"/>
      <c r="B18" s="326"/>
      <c r="C18" s="339"/>
      <c r="D18" s="125">
        <f t="shared" si="0"/>
        <v>0</v>
      </c>
      <c r="E18" s="345"/>
      <c r="F18" s="122">
        <f t="shared" si="1"/>
        <v>0</v>
      </c>
      <c r="G18" s="345"/>
      <c r="H18" s="122">
        <f t="shared" si="2"/>
        <v>0</v>
      </c>
      <c r="I18" s="345"/>
      <c r="J18" s="217">
        <f t="shared" si="3"/>
        <v>0</v>
      </c>
      <c r="K18" s="404"/>
    </row>
    <row r="19" spans="1:11" ht="12.75">
      <c r="A19" s="338"/>
      <c r="B19" s="326"/>
      <c r="C19" s="339"/>
      <c r="D19" s="125">
        <f t="shared" si="0"/>
        <v>0</v>
      </c>
      <c r="E19" s="345"/>
      <c r="F19" s="122">
        <f t="shared" si="1"/>
        <v>0</v>
      </c>
      <c r="G19" s="345"/>
      <c r="H19" s="122">
        <f t="shared" si="2"/>
        <v>0</v>
      </c>
      <c r="I19" s="345"/>
      <c r="J19" s="217">
        <f t="shared" si="3"/>
        <v>0</v>
      </c>
      <c r="K19" s="404"/>
    </row>
    <row r="20" spans="1:11" ht="12.75">
      <c r="A20" s="341"/>
      <c r="B20" s="326"/>
      <c r="C20" s="339"/>
      <c r="D20" s="125">
        <f t="shared" si="0"/>
        <v>0</v>
      </c>
      <c r="E20" s="345"/>
      <c r="F20" s="122">
        <f t="shared" si="1"/>
        <v>0</v>
      </c>
      <c r="G20" s="345"/>
      <c r="H20" s="122">
        <f t="shared" si="2"/>
        <v>0</v>
      </c>
      <c r="I20" s="345"/>
      <c r="J20" s="217">
        <f t="shared" si="3"/>
        <v>0</v>
      </c>
      <c r="K20" s="404"/>
    </row>
    <row r="21" spans="1:11" ht="12.75">
      <c r="A21" s="342"/>
      <c r="B21" s="326"/>
      <c r="C21" s="339"/>
      <c r="D21" s="125">
        <f t="shared" si="0"/>
        <v>0</v>
      </c>
      <c r="E21" s="345"/>
      <c r="F21" s="122">
        <f t="shared" si="1"/>
        <v>0</v>
      </c>
      <c r="G21" s="345"/>
      <c r="H21" s="122">
        <f t="shared" si="2"/>
        <v>0</v>
      </c>
      <c r="I21" s="345"/>
      <c r="J21" s="217">
        <f t="shared" si="3"/>
        <v>0</v>
      </c>
      <c r="K21" s="390"/>
    </row>
    <row r="22" spans="1:11" ht="12.75">
      <c r="A22" s="342"/>
      <c r="B22" s="326"/>
      <c r="C22" s="339"/>
      <c r="D22" s="125">
        <f t="shared" si="0"/>
        <v>0</v>
      </c>
      <c r="E22" s="345"/>
      <c r="F22" s="122">
        <f t="shared" si="1"/>
        <v>0</v>
      </c>
      <c r="G22" s="345"/>
      <c r="H22" s="122">
        <f t="shared" si="2"/>
        <v>0</v>
      </c>
      <c r="I22" s="345"/>
      <c r="J22" s="217">
        <f t="shared" si="3"/>
        <v>0</v>
      </c>
      <c r="K22" s="390"/>
    </row>
    <row r="23" spans="1:11" ht="12.75">
      <c r="A23" s="342"/>
      <c r="B23" s="326"/>
      <c r="C23" s="339"/>
      <c r="D23" s="125">
        <f t="shared" si="0"/>
        <v>0</v>
      </c>
      <c r="E23" s="345"/>
      <c r="F23" s="122">
        <f t="shared" si="1"/>
        <v>0</v>
      </c>
      <c r="G23" s="345"/>
      <c r="H23" s="122">
        <f t="shared" si="2"/>
        <v>0</v>
      </c>
      <c r="I23" s="345"/>
      <c r="J23" s="217">
        <f t="shared" si="3"/>
        <v>0</v>
      </c>
      <c r="K23" s="390"/>
    </row>
    <row r="24" spans="1:11" ht="12.75">
      <c r="A24" s="342"/>
      <c r="B24" s="326"/>
      <c r="C24" s="339"/>
      <c r="D24" s="125">
        <f t="shared" si="0"/>
        <v>0</v>
      </c>
      <c r="E24" s="345"/>
      <c r="F24" s="122">
        <f t="shared" si="1"/>
        <v>0</v>
      </c>
      <c r="G24" s="345"/>
      <c r="H24" s="122">
        <f t="shared" si="2"/>
        <v>0</v>
      </c>
      <c r="I24" s="345"/>
      <c r="J24" s="217">
        <f t="shared" si="3"/>
        <v>0</v>
      </c>
      <c r="K24" s="390"/>
    </row>
    <row r="25" spans="1:11" ht="12.75">
      <c r="A25" s="338"/>
      <c r="B25" s="326"/>
      <c r="C25" s="343"/>
      <c r="D25" s="125">
        <f t="shared" si="0"/>
        <v>0</v>
      </c>
      <c r="E25" s="346"/>
      <c r="F25" s="122">
        <f t="shared" si="1"/>
        <v>0</v>
      </c>
      <c r="G25" s="346"/>
      <c r="H25" s="122">
        <f t="shared" si="2"/>
        <v>0</v>
      </c>
      <c r="I25" s="345"/>
      <c r="J25" s="217">
        <f t="shared" si="3"/>
        <v>0</v>
      </c>
      <c r="K25" s="390"/>
    </row>
    <row r="26" spans="1:11" ht="12.75">
      <c r="A26" s="338"/>
      <c r="B26" s="326"/>
      <c r="C26" s="339"/>
      <c r="D26" s="125">
        <f t="shared" si="0"/>
        <v>0</v>
      </c>
      <c r="E26" s="345"/>
      <c r="F26" s="122">
        <f t="shared" si="1"/>
        <v>0</v>
      </c>
      <c r="G26" s="345"/>
      <c r="H26" s="122">
        <f t="shared" si="2"/>
        <v>0</v>
      </c>
      <c r="I26" s="345"/>
      <c r="J26" s="217">
        <f t="shared" si="3"/>
        <v>0</v>
      </c>
      <c r="K26" s="390"/>
    </row>
    <row r="27" spans="1:11" ht="12.75">
      <c r="A27" s="338"/>
      <c r="B27" s="326"/>
      <c r="C27" s="339"/>
      <c r="D27" s="125">
        <f t="shared" si="0"/>
        <v>0</v>
      </c>
      <c r="E27" s="345"/>
      <c r="F27" s="122">
        <f t="shared" si="1"/>
        <v>0</v>
      </c>
      <c r="G27" s="345"/>
      <c r="H27" s="122">
        <f t="shared" si="2"/>
        <v>0</v>
      </c>
      <c r="I27" s="345"/>
      <c r="J27" s="217">
        <f t="shared" si="3"/>
        <v>0</v>
      </c>
      <c r="K27" s="390"/>
    </row>
    <row r="28" spans="1:11" ht="12.75">
      <c r="A28" s="340"/>
      <c r="B28" s="326"/>
      <c r="C28" s="339"/>
      <c r="D28" s="125">
        <f t="shared" si="0"/>
        <v>0</v>
      </c>
      <c r="E28" s="345"/>
      <c r="F28" s="122">
        <f t="shared" si="1"/>
        <v>0</v>
      </c>
      <c r="G28" s="345"/>
      <c r="H28" s="122">
        <f t="shared" si="2"/>
        <v>0</v>
      </c>
      <c r="I28" s="345"/>
      <c r="J28" s="217">
        <f t="shared" si="3"/>
        <v>0</v>
      </c>
      <c r="K28" s="390"/>
    </row>
    <row r="29" spans="1:11" ht="12.75">
      <c r="A29" s="340"/>
      <c r="B29" s="326"/>
      <c r="C29" s="339"/>
      <c r="D29" s="125">
        <f t="shared" si="0"/>
        <v>0</v>
      </c>
      <c r="E29" s="345"/>
      <c r="F29" s="122">
        <f t="shared" si="1"/>
        <v>0</v>
      </c>
      <c r="G29" s="345"/>
      <c r="H29" s="122">
        <f t="shared" si="2"/>
        <v>0</v>
      </c>
      <c r="I29" s="345"/>
      <c r="J29" s="217">
        <f t="shared" si="3"/>
        <v>0</v>
      </c>
      <c r="K29" s="390"/>
    </row>
    <row r="30" spans="1:11" ht="12.75">
      <c r="A30" s="344"/>
      <c r="B30" s="334"/>
      <c r="C30" s="339"/>
      <c r="D30" s="125">
        <f t="shared" si="0"/>
        <v>0</v>
      </c>
      <c r="E30" s="347"/>
      <c r="F30" s="122">
        <f t="shared" si="1"/>
        <v>0</v>
      </c>
      <c r="G30" s="347"/>
      <c r="H30" s="122">
        <f t="shared" si="2"/>
        <v>0</v>
      </c>
      <c r="I30" s="347"/>
      <c r="J30" s="217">
        <f t="shared" si="3"/>
        <v>0</v>
      </c>
      <c r="K30" s="405"/>
    </row>
    <row r="31" spans="2:10" ht="12.75">
      <c r="B31" s="238" t="s">
        <v>62</v>
      </c>
      <c r="C31" s="137">
        <f>SUM(C16:C30)</f>
        <v>0</v>
      </c>
      <c r="D31" s="138">
        <f>SUM(D16:D30)</f>
        <v>0</v>
      </c>
      <c r="E31" s="145"/>
      <c r="F31" s="138">
        <f>SUM(F16:F30)</f>
        <v>0</v>
      </c>
      <c r="G31" s="147"/>
      <c r="H31" s="138">
        <f>SUM(H16:H30)</f>
        <v>0</v>
      </c>
      <c r="I31" s="3"/>
      <c r="J31" s="2"/>
    </row>
    <row r="32" spans="4:10" ht="12.75">
      <c r="D32" s="449" t="s">
        <v>61</v>
      </c>
      <c r="E32" s="449"/>
      <c r="F32" s="449"/>
      <c r="G32" s="449"/>
      <c r="H32" s="60"/>
      <c r="I32" s="60"/>
      <c r="J32" s="60"/>
    </row>
    <row r="33" ht="12.75">
      <c r="A33" s="105"/>
    </row>
    <row r="34" spans="1:5" ht="12.75">
      <c r="A34" s="149"/>
      <c r="B34" s="1"/>
      <c r="C34" s="1"/>
      <c r="D34" s="1"/>
      <c r="E34" s="1"/>
    </row>
    <row r="35" spans="1:5" ht="12.75">
      <c r="A35" s="149"/>
      <c r="B35" s="1"/>
      <c r="C35" s="1"/>
      <c r="D35" s="1"/>
      <c r="E35" s="1"/>
    </row>
    <row r="36" spans="1:5" ht="12.75">
      <c r="A36" s="149"/>
      <c r="B36" s="1"/>
      <c r="C36" s="1"/>
      <c r="D36" s="1"/>
      <c r="E36" s="1"/>
    </row>
    <row r="37" spans="1:5" ht="12.75">
      <c r="A37" s="149"/>
      <c r="B37" s="1"/>
      <c r="C37" s="1"/>
      <c r="D37" s="1"/>
      <c r="E37" s="1"/>
    </row>
    <row r="38" spans="1:5" ht="12.75">
      <c r="A38" s="149"/>
      <c r="B38" s="1"/>
      <c r="C38" s="1"/>
      <c r="D38" s="1"/>
      <c r="E38" s="1"/>
    </row>
    <row r="39" spans="1:5" ht="12.75">
      <c r="A39" s="149"/>
      <c r="B39" s="1"/>
      <c r="C39" s="1"/>
      <c r="D39" s="1"/>
      <c r="E39" s="1"/>
    </row>
  </sheetData>
  <sheetProtection password="CFCA" sheet="1" objects="1" scenarios="1"/>
  <mergeCells count="10">
    <mergeCell ref="D32:G32"/>
    <mergeCell ref="A3:K3"/>
    <mergeCell ref="A4:K4"/>
    <mergeCell ref="D9:I9"/>
    <mergeCell ref="D10:I10"/>
    <mergeCell ref="D11:E11"/>
    <mergeCell ref="K13:K15"/>
    <mergeCell ref="F11:G11"/>
    <mergeCell ref="H11:I11"/>
    <mergeCell ref="C5:F5"/>
  </mergeCells>
  <conditionalFormatting sqref="J16">
    <cfRule type="cellIs" priority="6" dxfId="0" operator="greaterThan" stopIfTrue="1">
      <formula>1</formula>
    </cfRule>
    <cfRule type="cellIs" priority="8" dxfId="0" operator="greaterThan" stopIfTrue="1">
      <formula>100</formula>
    </cfRule>
  </conditionalFormatting>
  <conditionalFormatting sqref="J17:J30">
    <cfRule type="cellIs" priority="7" dxfId="0" operator="greaterThan" stopIfTrue="1">
      <formula>100</formula>
    </cfRule>
  </conditionalFormatting>
  <conditionalFormatting sqref="J17:J30">
    <cfRule type="cellIs" priority="4" dxfId="0" operator="greaterThan" stopIfTrue="1">
      <formula>1</formula>
    </cfRule>
    <cfRule type="cellIs" priority="5" dxfId="0" operator="greaterThan" stopIfTrue="1">
      <formula>100</formula>
    </cfRule>
  </conditionalFormatting>
  <conditionalFormatting sqref="J14:J15">
    <cfRule type="cellIs" priority="3" dxfId="0" operator="greaterThan" stopIfTrue="1">
      <formula>100</formula>
    </cfRule>
  </conditionalFormatting>
  <conditionalFormatting sqref="J14:J15">
    <cfRule type="cellIs" priority="1" dxfId="0" operator="greaterThan" stopIfTrue="1">
      <formula>1</formula>
    </cfRule>
    <cfRule type="cellIs" priority="2" dxfId="0" operator="greaterThan" stopIfTrue="1">
      <formula>100</formula>
    </cfRule>
  </conditionalFormatting>
  <printOptions gridLines="1"/>
  <pageMargins left="0.5" right="0.5" top="1" bottom="1" header="0.5" footer="0.5"/>
  <pageSetup fitToHeight="1" fitToWidth="1" horizontalDpi="600" verticalDpi="600" orientation="landscape" scale="84"/>
  <headerFooter alignWithMargins="0">
    <oddHeader>&amp;R&amp;"Arial,Bold"
</oddHeader>
    <oddFooter>&amp;LPrinted:&amp;D&amp;C&amp;F
&amp;A&amp;R3 Services FY 2017
Service Center Rate Cal Worksheet
Revised 6/28/16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33"/>
  <sheetViews>
    <sheetView zoomScalePageLayoutView="0" workbookViewId="0" topLeftCell="A1">
      <selection activeCell="L7" sqref="L7"/>
    </sheetView>
  </sheetViews>
  <sheetFormatPr defaultColWidth="8.8515625" defaultRowHeight="12.75"/>
  <cols>
    <col min="1" max="1" width="26.7109375" style="0" bestFit="1" customWidth="1"/>
    <col min="2" max="2" width="11.421875" style="0" customWidth="1"/>
    <col min="3" max="3" width="10.7109375" style="0" customWidth="1"/>
    <col min="4" max="4" width="9.8515625" style="0" customWidth="1"/>
    <col min="5" max="5" width="10.421875" style="5" customWidth="1"/>
    <col min="6" max="6" width="14.421875" style="0" bestFit="1" customWidth="1"/>
    <col min="7" max="8" width="11.28125" style="0" bestFit="1" customWidth="1"/>
    <col min="9" max="9" width="6.7109375" style="0" bestFit="1" customWidth="1"/>
    <col min="10" max="10" width="10.28125" style="0" bestFit="1" customWidth="1"/>
    <col min="11" max="11" width="11.28125" style="0" customWidth="1"/>
    <col min="12" max="12" width="6.28125" style="0" customWidth="1"/>
    <col min="13" max="13" width="10.28125" style="0" bestFit="1" customWidth="1"/>
    <col min="14" max="14" width="6.28125" style="0" customWidth="1"/>
    <col min="15" max="15" width="10.28125" style="0" bestFit="1" customWidth="1"/>
    <col min="16" max="16" width="6.00390625" style="0" bestFit="1" customWidth="1"/>
    <col min="17" max="17" width="6.28125" style="0" customWidth="1"/>
    <col min="18" max="18" width="18.421875" style="0" customWidth="1"/>
    <col min="19" max="19" width="8.8515625" style="0" customWidth="1"/>
    <col min="20" max="20" width="9.00390625" style="0" customWidth="1"/>
  </cols>
  <sheetData>
    <row r="1" spans="1:10" ht="15">
      <c r="A1" s="102" t="s">
        <v>143</v>
      </c>
      <c r="B1" s="292">
        <f>'Salary and Wage'!B1</f>
        <v>0</v>
      </c>
      <c r="C1" s="289"/>
      <c r="D1" s="289"/>
      <c r="F1" s="102" t="s">
        <v>142</v>
      </c>
      <c r="G1" s="290">
        <f>+'Salary and Wage'!F1</f>
        <v>0</v>
      </c>
      <c r="H1" s="425"/>
      <c r="I1" s="180"/>
      <c r="J1" s="180"/>
    </row>
    <row r="2" spans="1:7" ht="15" customHeight="1">
      <c r="A2" s="102"/>
      <c r="B2" s="2"/>
      <c r="C2" s="2"/>
      <c r="D2" s="2"/>
      <c r="F2" s="102"/>
      <c r="G2" s="2"/>
    </row>
    <row r="3" spans="1:21" s="8" customFormat="1" ht="31.5">
      <c r="A3" s="436" t="s">
        <v>146</v>
      </c>
      <c r="B3" s="436"/>
      <c r="C3" s="436"/>
      <c r="D3" s="436"/>
      <c r="E3" s="436"/>
      <c r="F3" s="436"/>
      <c r="G3" s="436"/>
      <c r="H3" s="436"/>
      <c r="I3" s="436"/>
      <c r="J3" s="436"/>
      <c r="K3" s="436"/>
      <c r="L3" s="436"/>
      <c r="M3" s="436"/>
      <c r="N3" s="436"/>
      <c r="O3" s="436"/>
      <c r="P3" s="436"/>
      <c r="Q3" s="436"/>
      <c r="R3" s="436"/>
      <c r="S3" s="20"/>
      <c r="T3" s="20"/>
      <c r="U3" s="20"/>
    </row>
    <row r="4" spans="1:21" s="23" customFormat="1" ht="18">
      <c r="A4" s="437" t="s">
        <v>63</v>
      </c>
      <c r="B4" s="437"/>
      <c r="C4" s="437"/>
      <c r="D4" s="437"/>
      <c r="E4" s="437"/>
      <c r="F4" s="437"/>
      <c r="G4" s="437"/>
      <c r="H4" s="437"/>
      <c r="I4" s="437"/>
      <c r="J4" s="437"/>
      <c r="K4" s="437"/>
      <c r="L4" s="437"/>
      <c r="M4" s="437"/>
      <c r="N4" s="437"/>
      <c r="O4" s="437"/>
      <c r="P4" s="437"/>
      <c r="Q4" s="437"/>
      <c r="R4" s="437"/>
      <c r="S4" s="22"/>
      <c r="T4" s="22"/>
      <c r="U4" s="22"/>
    </row>
    <row r="5" spans="1:21" s="23" customFormat="1" ht="18">
      <c r="A5" s="22"/>
      <c r="B5" s="22"/>
      <c r="C5" s="22"/>
      <c r="D5" s="22"/>
      <c r="E5" s="22"/>
      <c r="F5" s="22"/>
      <c r="G5" s="437" t="s">
        <v>225</v>
      </c>
      <c r="H5" s="437"/>
      <c r="I5" s="22"/>
      <c r="J5" s="22"/>
      <c r="K5" s="22"/>
      <c r="L5" s="22"/>
      <c r="M5" s="22"/>
      <c r="N5" s="22"/>
      <c r="O5" s="22"/>
      <c r="P5" s="22"/>
      <c r="Q5" s="22"/>
      <c r="R5" s="22"/>
      <c r="S5" s="22"/>
      <c r="T5" s="22"/>
      <c r="U5" s="22"/>
    </row>
    <row r="6" spans="1:21" s="23" customFormat="1" ht="18">
      <c r="A6" s="22"/>
      <c r="B6" s="22"/>
      <c r="C6" s="22"/>
      <c r="D6" s="22"/>
      <c r="E6" s="22"/>
      <c r="F6" s="22"/>
      <c r="G6" s="22"/>
      <c r="H6" s="22"/>
      <c r="I6" s="22"/>
      <c r="J6" s="22"/>
      <c r="K6" s="22"/>
      <c r="L6" s="22"/>
      <c r="M6" s="22"/>
      <c r="N6" s="22"/>
      <c r="O6" s="22"/>
      <c r="P6" s="22"/>
      <c r="Q6" s="22"/>
      <c r="R6" s="22"/>
      <c r="S6" s="22"/>
      <c r="T6" s="22"/>
      <c r="U6" s="22"/>
    </row>
    <row r="7" spans="1:20" s="23" customFormat="1" ht="18">
      <c r="A7" s="322"/>
      <c r="B7" s="21" t="s">
        <v>204</v>
      </c>
      <c r="C7" s="22"/>
      <c r="D7" s="22"/>
      <c r="E7" s="22"/>
      <c r="F7" s="22"/>
      <c r="G7" s="22"/>
      <c r="H7" s="22"/>
      <c r="I7" s="22"/>
      <c r="J7" s="22"/>
      <c r="K7" s="22"/>
      <c r="L7" s="22"/>
      <c r="M7" s="22"/>
      <c r="N7" s="22"/>
      <c r="O7" s="22"/>
      <c r="P7" s="22"/>
      <c r="Q7" s="22"/>
      <c r="R7" s="22"/>
      <c r="S7" s="22"/>
      <c r="T7" s="22"/>
    </row>
    <row r="8" spans="1:21" s="23" customFormat="1" ht="18.75" thickBot="1">
      <c r="A8" s="22"/>
      <c r="B8" s="22"/>
      <c r="C8" s="22"/>
      <c r="D8" s="22"/>
      <c r="E8" s="22"/>
      <c r="F8" s="22"/>
      <c r="G8" s="22"/>
      <c r="H8" s="22"/>
      <c r="I8" s="22"/>
      <c r="J8" s="22"/>
      <c r="K8" s="113"/>
      <c r="L8" s="113"/>
      <c r="M8" s="113"/>
      <c r="N8" s="113"/>
      <c r="O8" s="113"/>
      <c r="P8" s="113"/>
      <c r="Q8" s="113"/>
      <c r="R8" s="22"/>
      <c r="S8" s="22"/>
      <c r="T8" s="22"/>
      <c r="U8" s="22"/>
    </row>
    <row r="9" spans="1:18" s="8" customFormat="1" ht="12.75">
      <c r="A9" s="11"/>
      <c r="B9" s="12"/>
      <c r="C9" s="12"/>
      <c r="D9" s="12"/>
      <c r="E9" s="27"/>
      <c r="F9" s="417"/>
      <c r="G9" s="47"/>
      <c r="H9" s="12"/>
      <c r="I9" s="12"/>
      <c r="J9" s="12"/>
      <c r="K9" s="443" t="s">
        <v>56</v>
      </c>
      <c r="L9" s="444"/>
      <c r="M9" s="444"/>
      <c r="N9" s="444"/>
      <c r="O9" s="444"/>
      <c r="P9" s="444"/>
      <c r="Q9" s="209"/>
      <c r="R9" s="28"/>
    </row>
    <row r="10" spans="1:18" s="8" customFormat="1" ht="12.75">
      <c r="A10" s="184"/>
      <c r="B10" s="9"/>
      <c r="C10" s="9"/>
      <c r="D10" s="9"/>
      <c r="E10" s="17"/>
      <c r="F10" s="205"/>
      <c r="G10" s="83"/>
      <c r="H10" s="9"/>
      <c r="I10" s="9"/>
      <c r="J10" s="9"/>
      <c r="K10" s="440" t="s">
        <v>112</v>
      </c>
      <c r="L10" s="441"/>
      <c r="M10" s="441"/>
      <c r="N10" s="441"/>
      <c r="O10" s="441"/>
      <c r="P10" s="442"/>
      <c r="Q10" s="73"/>
      <c r="R10" s="187"/>
    </row>
    <row r="11" spans="1:18" s="8" customFormat="1" ht="49.5" customHeight="1" thickBot="1">
      <c r="A11" s="184"/>
      <c r="B11" s="9"/>
      <c r="C11" s="9"/>
      <c r="D11" s="9"/>
      <c r="E11" s="17"/>
      <c r="F11" s="205"/>
      <c r="G11" s="83"/>
      <c r="H11" s="9"/>
      <c r="I11" s="9"/>
      <c r="J11" s="9"/>
      <c r="K11" s="457">
        <f>'Forecasted Usage'!B14</f>
        <v>0</v>
      </c>
      <c r="L11" s="452"/>
      <c r="M11" s="457">
        <f>'Forecasted Usage'!B15</f>
        <v>0</v>
      </c>
      <c r="N11" s="452"/>
      <c r="O11" s="457">
        <f>'Forecasted Usage'!B16</f>
        <v>0</v>
      </c>
      <c r="P11" s="452"/>
      <c r="Q11" s="73"/>
      <c r="R11" s="187"/>
    </row>
    <row r="12" spans="1:18" s="8" customFormat="1" ht="27" thickBot="1">
      <c r="A12" s="14" t="s">
        <v>64</v>
      </c>
      <c r="B12" s="49" t="s">
        <v>68</v>
      </c>
      <c r="C12" s="318" t="s">
        <v>215</v>
      </c>
      <c r="D12" s="318" t="s">
        <v>216</v>
      </c>
      <c r="E12" s="50" t="s">
        <v>65</v>
      </c>
      <c r="F12" s="114" t="s">
        <v>220</v>
      </c>
      <c r="G12" s="53" t="s">
        <v>66</v>
      </c>
      <c r="H12" s="50" t="s">
        <v>73</v>
      </c>
      <c r="I12" s="50" t="s">
        <v>67</v>
      </c>
      <c r="J12" s="50" t="s">
        <v>74</v>
      </c>
      <c r="K12" s="235" t="s">
        <v>162</v>
      </c>
      <c r="L12" s="146" t="s">
        <v>75</v>
      </c>
      <c r="M12" s="235" t="s">
        <v>163</v>
      </c>
      <c r="N12" s="146" t="s">
        <v>75</v>
      </c>
      <c r="O12" s="235" t="s">
        <v>164</v>
      </c>
      <c r="P12" s="411" t="s">
        <v>75</v>
      </c>
      <c r="Q12" s="412" t="s">
        <v>78</v>
      </c>
      <c r="R12" s="16" t="s">
        <v>59</v>
      </c>
    </row>
    <row r="13" spans="1:18" s="18" customFormat="1" ht="10.5">
      <c r="A13" s="88" t="s">
        <v>92</v>
      </c>
      <c r="B13" s="220"/>
      <c r="C13" s="220"/>
      <c r="D13" s="54"/>
      <c r="E13" s="221"/>
      <c r="F13" s="214"/>
      <c r="G13" s="216"/>
      <c r="H13" s="55"/>
      <c r="I13" s="55"/>
      <c r="J13" s="55"/>
      <c r="K13" s="216"/>
      <c r="L13" s="217"/>
      <c r="M13" s="216"/>
      <c r="N13" s="217"/>
      <c r="O13" s="222"/>
      <c r="P13" s="56"/>
      <c r="Q13" s="415"/>
      <c r="R13" s="446" t="s">
        <v>218</v>
      </c>
    </row>
    <row r="14" spans="1:18" s="18" customFormat="1" ht="11.25" customHeight="1" thickBot="1">
      <c r="A14" s="223" t="s">
        <v>69</v>
      </c>
      <c r="B14" s="224" t="s">
        <v>70</v>
      </c>
      <c r="C14" s="225" t="s">
        <v>71</v>
      </c>
      <c r="D14" s="226">
        <v>888555</v>
      </c>
      <c r="E14" s="227">
        <v>40909</v>
      </c>
      <c r="F14" s="309" t="s">
        <v>221</v>
      </c>
      <c r="G14" s="266">
        <v>85000</v>
      </c>
      <c r="H14" s="142">
        <v>15937.5</v>
      </c>
      <c r="I14" s="57">
        <v>8</v>
      </c>
      <c r="J14" s="429">
        <f>IF(G14-H14&lt;G14/I14,G14-H14,G14/I14)</f>
        <v>10625</v>
      </c>
      <c r="K14" s="266">
        <f>J14*L14</f>
        <v>10625</v>
      </c>
      <c r="L14" s="219">
        <v>1</v>
      </c>
      <c r="M14" s="266">
        <f>J14*N14</f>
        <v>0</v>
      </c>
      <c r="N14" s="219">
        <v>0</v>
      </c>
      <c r="O14" s="266">
        <f>J14*P14</f>
        <v>0</v>
      </c>
      <c r="P14" s="414">
        <v>0</v>
      </c>
      <c r="Q14" s="431">
        <f aca="true" t="shared" si="0" ref="Q14:Q24">SUM(L14,N14,P14)</f>
        <v>1</v>
      </c>
      <c r="R14" s="447"/>
    </row>
    <row r="15" spans="1:18" ht="12.75">
      <c r="A15" s="323"/>
      <c r="B15" s="349"/>
      <c r="C15" s="349"/>
      <c r="D15" s="406"/>
      <c r="E15" s="350"/>
      <c r="F15" s="351"/>
      <c r="G15" s="352"/>
      <c r="H15" s="353"/>
      <c r="I15" s="354">
        <v>1</v>
      </c>
      <c r="J15" s="426">
        <f>IF(G15-H15&lt;G15/I15,G15-H15,G15/I15)</f>
        <v>0</v>
      </c>
      <c r="K15" s="122">
        <f>$J15*L15</f>
        <v>0</v>
      </c>
      <c r="L15" s="345"/>
      <c r="M15" s="122">
        <f>$J15*N15</f>
        <v>0</v>
      </c>
      <c r="N15" s="345"/>
      <c r="O15" s="140">
        <f aca="true" t="shared" si="1" ref="M15:O24">$J15*P15</f>
        <v>0</v>
      </c>
      <c r="P15" s="345"/>
      <c r="Q15" s="217">
        <f t="shared" si="0"/>
        <v>0</v>
      </c>
      <c r="R15" s="388"/>
    </row>
    <row r="16" spans="1:18" ht="12.75">
      <c r="A16" s="329"/>
      <c r="B16" s="349"/>
      <c r="C16" s="355"/>
      <c r="D16" s="406"/>
      <c r="E16" s="350"/>
      <c r="F16" s="351"/>
      <c r="G16" s="352"/>
      <c r="H16" s="356"/>
      <c r="I16" s="354">
        <v>1</v>
      </c>
      <c r="J16" s="144">
        <f>IF(G16-H16&lt;G16/I16,G16-H16,G16/I16)</f>
        <v>0</v>
      </c>
      <c r="K16" s="122">
        <f aca="true" t="shared" si="2" ref="K16:K24">$J16*L16</f>
        <v>0</v>
      </c>
      <c r="L16" s="345"/>
      <c r="M16" s="122">
        <f t="shared" si="1"/>
        <v>0</v>
      </c>
      <c r="N16" s="345"/>
      <c r="O16" s="122">
        <f t="shared" si="1"/>
        <v>0</v>
      </c>
      <c r="P16" s="345"/>
      <c r="Q16" s="217">
        <f t="shared" si="0"/>
        <v>0</v>
      </c>
      <c r="R16" s="388"/>
    </row>
    <row r="17" spans="1:18" ht="12.75">
      <c r="A17" s="329"/>
      <c r="B17" s="349"/>
      <c r="C17" s="355"/>
      <c r="D17" s="406"/>
      <c r="E17" s="350"/>
      <c r="F17" s="351"/>
      <c r="G17" s="352"/>
      <c r="H17" s="356"/>
      <c r="I17" s="354">
        <v>1</v>
      </c>
      <c r="J17" s="144">
        <f aca="true" t="shared" si="3" ref="J17:J24">IF(G17-H17&lt;G17/I17,G17-H17,G17/I17)</f>
        <v>0</v>
      </c>
      <c r="K17" s="140">
        <f t="shared" si="2"/>
        <v>0</v>
      </c>
      <c r="L17" s="345"/>
      <c r="M17" s="122">
        <f t="shared" si="1"/>
        <v>0</v>
      </c>
      <c r="N17" s="345"/>
      <c r="O17" s="122">
        <f t="shared" si="1"/>
        <v>0</v>
      </c>
      <c r="P17" s="345"/>
      <c r="Q17" s="217">
        <f t="shared" si="0"/>
        <v>0</v>
      </c>
      <c r="R17" s="388"/>
    </row>
    <row r="18" spans="1:18" ht="12.75">
      <c r="A18" s="329"/>
      <c r="B18" s="349"/>
      <c r="C18" s="349"/>
      <c r="D18" s="407"/>
      <c r="E18" s="350"/>
      <c r="F18" s="351"/>
      <c r="G18" s="352"/>
      <c r="H18" s="356"/>
      <c r="I18" s="354">
        <v>1</v>
      </c>
      <c r="J18" s="144">
        <f t="shared" si="3"/>
        <v>0</v>
      </c>
      <c r="K18" s="140">
        <f t="shared" si="2"/>
        <v>0</v>
      </c>
      <c r="L18" s="345"/>
      <c r="M18" s="122">
        <f t="shared" si="1"/>
        <v>0</v>
      </c>
      <c r="N18" s="345"/>
      <c r="O18" s="122">
        <f t="shared" si="1"/>
        <v>0</v>
      </c>
      <c r="P18" s="345"/>
      <c r="Q18" s="217">
        <f t="shared" si="0"/>
        <v>0</v>
      </c>
      <c r="R18" s="388"/>
    </row>
    <row r="19" spans="1:18" ht="12.75">
      <c r="A19" s="329"/>
      <c r="B19" s="349"/>
      <c r="C19" s="349"/>
      <c r="D19" s="407"/>
      <c r="E19" s="350"/>
      <c r="F19" s="326"/>
      <c r="G19" s="352"/>
      <c r="H19" s="356"/>
      <c r="I19" s="354">
        <v>1</v>
      </c>
      <c r="J19" s="144">
        <f t="shared" si="3"/>
        <v>0</v>
      </c>
      <c r="K19" s="140">
        <f t="shared" si="2"/>
        <v>0</v>
      </c>
      <c r="L19" s="345"/>
      <c r="M19" s="122">
        <f t="shared" si="1"/>
        <v>0</v>
      </c>
      <c r="N19" s="345"/>
      <c r="O19" s="122">
        <f t="shared" si="1"/>
        <v>0</v>
      </c>
      <c r="P19" s="345"/>
      <c r="Q19" s="217">
        <f t="shared" si="0"/>
        <v>0</v>
      </c>
      <c r="R19" s="388"/>
    </row>
    <row r="20" spans="1:18" ht="12.75">
      <c r="A20" s="329"/>
      <c r="B20" s="349"/>
      <c r="C20" s="349"/>
      <c r="D20" s="407"/>
      <c r="E20" s="350"/>
      <c r="F20" s="326"/>
      <c r="G20" s="352"/>
      <c r="H20" s="356"/>
      <c r="I20" s="354">
        <v>1</v>
      </c>
      <c r="J20" s="144">
        <f t="shared" si="3"/>
        <v>0</v>
      </c>
      <c r="K20" s="140">
        <f t="shared" si="2"/>
        <v>0</v>
      </c>
      <c r="L20" s="345"/>
      <c r="M20" s="122">
        <f t="shared" si="1"/>
        <v>0</v>
      </c>
      <c r="N20" s="345"/>
      <c r="O20" s="122">
        <f t="shared" si="1"/>
        <v>0</v>
      </c>
      <c r="P20" s="345"/>
      <c r="Q20" s="217">
        <f t="shared" si="0"/>
        <v>0</v>
      </c>
      <c r="R20" s="388"/>
    </row>
    <row r="21" spans="1:18" ht="12.75">
      <c r="A21" s="329"/>
      <c r="B21" s="349"/>
      <c r="C21" s="349"/>
      <c r="D21" s="407"/>
      <c r="E21" s="350"/>
      <c r="F21" s="326"/>
      <c r="G21" s="352"/>
      <c r="H21" s="356"/>
      <c r="I21" s="354">
        <v>1</v>
      </c>
      <c r="J21" s="144">
        <f t="shared" si="3"/>
        <v>0</v>
      </c>
      <c r="K21" s="140">
        <f t="shared" si="2"/>
        <v>0</v>
      </c>
      <c r="L21" s="345"/>
      <c r="M21" s="122">
        <f t="shared" si="1"/>
        <v>0</v>
      </c>
      <c r="N21" s="345"/>
      <c r="O21" s="122">
        <f t="shared" si="1"/>
        <v>0</v>
      </c>
      <c r="P21" s="345"/>
      <c r="Q21" s="217">
        <f t="shared" si="0"/>
        <v>0</v>
      </c>
      <c r="R21" s="388"/>
    </row>
    <row r="22" spans="1:18" ht="12.75">
      <c r="A22" s="329"/>
      <c r="B22" s="349"/>
      <c r="C22" s="349"/>
      <c r="D22" s="407"/>
      <c r="E22" s="350"/>
      <c r="F22" s="326"/>
      <c r="G22" s="352"/>
      <c r="H22" s="356"/>
      <c r="I22" s="354">
        <v>1</v>
      </c>
      <c r="J22" s="144">
        <f t="shared" si="3"/>
        <v>0</v>
      </c>
      <c r="K22" s="140">
        <f t="shared" si="2"/>
        <v>0</v>
      </c>
      <c r="L22" s="345"/>
      <c r="M22" s="122">
        <f t="shared" si="1"/>
        <v>0</v>
      </c>
      <c r="N22" s="345"/>
      <c r="O22" s="122">
        <f t="shared" si="1"/>
        <v>0</v>
      </c>
      <c r="P22" s="345"/>
      <c r="Q22" s="217">
        <f t="shared" si="0"/>
        <v>0</v>
      </c>
      <c r="R22" s="388"/>
    </row>
    <row r="23" spans="1:18" ht="12.75">
      <c r="A23" s="329"/>
      <c r="B23" s="349"/>
      <c r="C23" s="349"/>
      <c r="D23" s="407"/>
      <c r="E23" s="350"/>
      <c r="F23" s="326"/>
      <c r="G23" s="352"/>
      <c r="H23" s="356"/>
      <c r="I23" s="354">
        <v>1</v>
      </c>
      <c r="J23" s="144">
        <f t="shared" si="3"/>
        <v>0</v>
      </c>
      <c r="K23" s="140">
        <f t="shared" si="2"/>
        <v>0</v>
      </c>
      <c r="L23" s="345"/>
      <c r="M23" s="122">
        <f t="shared" si="1"/>
        <v>0</v>
      </c>
      <c r="N23" s="345"/>
      <c r="O23" s="122">
        <f t="shared" si="1"/>
        <v>0</v>
      </c>
      <c r="P23" s="345"/>
      <c r="Q23" s="217">
        <f t="shared" si="0"/>
        <v>0</v>
      </c>
      <c r="R23" s="388"/>
    </row>
    <row r="24" spans="1:18" ht="12.75">
      <c r="A24" s="331"/>
      <c r="B24" s="357"/>
      <c r="C24" s="357"/>
      <c r="D24" s="408"/>
      <c r="E24" s="358"/>
      <c r="F24" s="334"/>
      <c r="G24" s="359"/>
      <c r="H24" s="356"/>
      <c r="I24" s="360">
        <v>1</v>
      </c>
      <c r="J24" s="150">
        <f t="shared" si="3"/>
        <v>0</v>
      </c>
      <c r="K24" s="140">
        <f t="shared" si="2"/>
        <v>0</v>
      </c>
      <c r="L24" s="347"/>
      <c r="M24" s="122">
        <f t="shared" si="1"/>
        <v>0</v>
      </c>
      <c r="N24" s="347"/>
      <c r="O24" s="122">
        <f t="shared" si="1"/>
        <v>0</v>
      </c>
      <c r="P24" s="347"/>
      <c r="Q24" s="217">
        <f t="shared" si="0"/>
        <v>0</v>
      </c>
      <c r="R24" s="389"/>
    </row>
    <row r="25" spans="7:17" ht="12.75">
      <c r="G25" s="58"/>
      <c r="H25" s="58"/>
      <c r="I25" s="58"/>
      <c r="J25" s="238" t="s">
        <v>62</v>
      </c>
      <c r="K25" s="141">
        <f>SUM(K15:K24)</f>
        <v>0</v>
      </c>
      <c r="L25" s="87"/>
      <c r="M25" s="138">
        <f>SUM(M15:M24)</f>
        <v>0</v>
      </c>
      <c r="N25" s="3"/>
      <c r="O25" s="138">
        <f>SUM(O15:O24)</f>
        <v>0</v>
      </c>
      <c r="P25" s="3"/>
      <c r="Q25" s="2"/>
    </row>
    <row r="26" spans="11:17" ht="12.75">
      <c r="K26" s="449" t="s">
        <v>61</v>
      </c>
      <c r="L26" s="449"/>
      <c r="M26" s="449"/>
      <c r="N26" s="449"/>
      <c r="O26" s="60"/>
      <c r="P26" s="60"/>
      <c r="Q26" s="60"/>
    </row>
    <row r="30" ht="12.75">
      <c r="K30" s="158"/>
    </row>
    <row r="31" ht="12.75">
      <c r="K31" s="158"/>
    </row>
    <row r="32" spans="1:11" ht="12.75">
      <c r="A32" s="25" t="s">
        <v>72</v>
      </c>
      <c r="K32" s="158"/>
    </row>
    <row r="33" ht="12.75">
      <c r="K33" s="158"/>
    </row>
  </sheetData>
  <sheetProtection password="CFCA" sheet="1" objects="1" scenarios="1"/>
  <mergeCells count="10">
    <mergeCell ref="K26:N26"/>
    <mergeCell ref="A3:R3"/>
    <mergeCell ref="A4:R4"/>
    <mergeCell ref="K9:P9"/>
    <mergeCell ref="K10:P10"/>
    <mergeCell ref="M11:N11"/>
    <mergeCell ref="R13:R14"/>
    <mergeCell ref="O11:P11"/>
    <mergeCell ref="K11:L11"/>
    <mergeCell ref="G5:H5"/>
  </mergeCells>
  <conditionalFormatting sqref="Q15:Q24">
    <cfRule type="cellIs" priority="6" dxfId="0" operator="greaterThan" stopIfTrue="1">
      <formula>1</formula>
    </cfRule>
  </conditionalFormatting>
  <conditionalFormatting sqref="Q14">
    <cfRule type="cellIs" priority="1" dxfId="0" operator="greaterThan" stopIfTrue="1">
      <formula>1</formula>
    </cfRule>
  </conditionalFormatting>
  <printOptions gridLines="1"/>
  <pageMargins left="0.5" right="0.5" top="1" bottom="1" header="0.5" footer="0.5"/>
  <pageSetup fitToHeight="1" fitToWidth="1" horizontalDpi="600" verticalDpi="600" orientation="landscape" scale="65"/>
  <headerFooter alignWithMargins="0">
    <oddHeader>&amp;R&amp;"Arial,Bold"
</oddHeader>
    <oddFooter>&amp;LPrinted:&amp;D&amp;C&amp;F
&amp;A&amp;R3 Services FY 2017
Service Center Rate Cal Worksheet
Revised 6/28/16</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41"/>
  <sheetViews>
    <sheetView workbookViewId="0" topLeftCell="A13">
      <selection activeCell="L7" sqref="L7"/>
    </sheetView>
  </sheetViews>
  <sheetFormatPr defaultColWidth="8.8515625" defaultRowHeight="12.75"/>
  <cols>
    <col min="1" max="1" width="40.421875" style="0" customWidth="1"/>
    <col min="2" max="2" width="14.421875" style="0" customWidth="1"/>
    <col min="3" max="3" width="11.28125" style="0" bestFit="1" customWidth="1"/>
    <col min="4" max="4" width="10.28125" style="0" customWidth="1"/>
    <col min="5" max="5" width="11.28125" style="0" customWidth="1"/>
    <col min="6" max="6" width="10.421875" style="0" customWidth="1"/>
    <col min="7" max="7" width="9.28125" style="0" bestFit="1" customWidth="1"/>
    <col min="8" max="8" width="9.8515625" style="0" bestFit="1" customWidth="1"/>
    <col min="9" max="9" width="9.8515625" style="0" customWidth="1"/>
    <col min="10" max="10" width="11.28125" style="0" bestFit="1" customWidth="1"/>
    <col min="11" max="11" width="18.421875" style="0" customWidth="1"/>
  </cols>
  <sheetData>
    <row r="1" spans="1:11" ht="15">
      <c r="A1" s="102" t="s">
        <v>143</v>
      </c>
      <c r="B1" s="313">
        <f>'Salary and Wage'!B1</f>
        <v>0</v>
      </c>
      <c r="C1" s="289"/>
      <c r="D1" s="289"/>
      <c r="E1" s="291"/>
      <c r="F1" s="291"/>
      <c r="G1" s="183"/>
      <c r="H1" s="182" t="s">
        <v>142</v>
      </c>
      <c r="I1" s="182"/>
      <c r="J1" s="290">
        <f>'Salary and Wage'!F1</f>
        <v>0</v>
      </c>
      <c r="K1" s="290"/>
    </row>
    <row r="2" spans="1:11" ht="15" customHeight="1">
      <c r="A2" s="102"/>
      <c r="B2" s="2"/>
      <c r="C2" s="2"/>
      <c r="D2" s="2"/>
      <c r="E2" s="2"/>
      <c r="F2" s="2"/>
      <c r="G2" s="5"/>
      <c r="H2" s="102"/>
      <c r="I2" s="102"/>
      <c r="J2" s="2"/>
      <c r="K2" s="2"/>
    </row>
    <row r="3" spans="1:14" s="8" customFormat="1" ht="31.5">
      <c r="A3" s="436" t="s">
        <v>146</v>
      </c>
      <c r="B3" s="436"/>
      <c r="C3" s="436"/>
      <c r="D3" s="436"/>
      <c r="E3" s="436"/>
      <c r="F3" s="436"/>
      <c r="G3" s="436"/>
      <c r="H3" s="436"/>
      <c r="I3" s="436"/>
      <c r="J3" s="436"/>
      <c r="K3" s="436"/>
      <c r="L3" s="20"/>
      <c r="M3" s="20"/>
      <c r="N3" s="20"/>
    </row>
    <row r="4" spans="1:14" s="23" customFormat="1" ht="18">
      <c r="A4" s="437" t="s">
        <v>191</v>
      </c>
      <c r="B4" s="437"/>
      <c r="C4" s="437"/>
      <c r="D4" s="437"/>
      <c r="E4" s="437"/>
      <c r="F4" s="437"/>
      <c r="G4" s="437"/>
      <c r="H4" s="437"/>
      <c r="I4" s="437"/>
      <c r="J4" s="437"/>
      <c r="K4" s="437"/>
      <c r="L4" s="22"/>
      <c r="M4" s="22"/>
      <c r="N4" s="22"/>
    </row>
    <row r="5" spans="1:14" s="23" customFormat="1" ht="18">
      <c r="A5" s="22"/>
      <c r="B5" s="22"/>
      <c r="C5" s="22"/>
      <c r="D5" s="437" t="s">
        <v>225</v>
      </c>
      <c r="E5" s="437"/>
      <c r="F5" s="437"/>
      <c r="G5" s="22"/>
      <c r="H5" s="22"/>
      <c r="I5" s="22"/>
      <c r="J5" s="22"/>
      <c r="K5" s="22"/>
      <c r="L5" s="22"/>
      <c r="M5" s="22"/>
      <c r="N5" s="22"/>
    </row>
    <row r="6" spans="1:14" s="23" customFormat="1" ht="18">
      <c r="A6" s="22"/>
      <c r="B6" s="22"/>
      <c r="C6" s="22"/>
      <c r="D6" s="22"/>
      <c r="E6" s="22"/>
      <c r="F6" s="22"/>
      <c r="G6" s="22"/>
      <c r="H6" s="22"/>
      <c r="I6" s="22"/>
      <c r="J6" s="22"/>
      <c r="K6" s="22"/>
      <c r="L6" s="22"/>
      <c r="M6" s="22"/>
      <c r="N6" s="22"/>
    </row>
    <row r="7" spans="1:20" s="23" customFormat="1" ht="18">
      <c r="A7" s="322"/>
      <c r="B7" s="21" t="s">
        <v>204</v>
      </c>
      <c r="C7" s="22"/>
      <c r="D7" s="22"/>
      <c r="E7" s="22"/>
      <c r="F7" s="22"/>
      <c r="G7" s="22"/>
      <c r="H7" s="22"/>
      <c r="I7" s="22"/>
      <c r="J7" s="22"/>
      <c r="K7" s="22"/>
      <c r="L7" s="22"/>
      <c r="M7" s="22"/>
      <c r="N7" s="22"/>
      <c r="O7" s="22"/>
      <c r="P7" s="22"/>
      <c r="Q7" s="22"/>
      <c r="R7" s="22"/>
      <c r="S7" s="22"/>
      <c r="T7" s="22"/>
    </row>
    <row r="8" spans="1:14" s="23" customFormat="1" ht="18.75" thickBot="1">
      <c r="A8" s="22"/>
      <c r="B8" s="22"/>
      <c r="C8" s="22"/>
      <c r="D8" s="22"/>
      <c r="E8" s="22"/>
      <c r="F8" s="22"/>
      <c r="G8" s="22"/>
      <c r="H8" s="22"/>
      <c r="I8" s="22"/>
      <c r="J8" s="22"/>
      <c r="K8" s="22"/>
      <c r="L8" s="22"/>
      <c r="M8" s="22"/>
      <c r="N8" s="22"/>
    </row>
    <row r="9" spans="1:11" s="8" customFormat="1" ht="12.75">
      <c r="A9" s="11"/>
      <c r="B9" s="417"/>
      <c r="C9" s="47"/>
      <c r="D9" s="12"/>
      <c r="E9" s="12"/>
      <c r="F9" s="444" t="s">
        <v>197</v>
      </c>
      <c r="G9" s="444"/>
      <c r="H9" s="12"/>
      <c r="I9" s="12"/>
      <c r="J9" s="48"/>
      <c r="K9" s="28"/>
    </row>
    <row r="10" spans="1:11" s="8" customFormat="1" ht="40.5" customHeight="1" thickBot="1">
      <c r="A10" s="14" t="s">
        <v>76</v>
      </c>
      <c r="B10" s="114" t="s">
        <v>220</v>
      </c>
      <c r="C10" s="53" t="s">
        <v>161</v>
      </c>
      <c r="D10" s="49" t="s">
        <v>159</v>
      </c>
      <c r="E10" s="50" t="s">
        <v>190</v>
      </c>
      <c r="F10" s="50" t="s">
        <v>196</v>
      </c>
      <c r="G10" s="50" t="s">
        <v>203</v>
      </c>
      <c r="H10" s="50" t="s">
        <v>98</v>
      </c>
      <c r="I10" s="50" t="s">
        <v>192</v>
      </c>
      <c r="J10" s="52" t="s">
        <v>0</v>
      </c>
      <c r="K10" s="16" t="s">
        <v>59</v>
      </c>
    </row>
    <row r="11" spans="1:11" s="18" customFormat="1" ht="10.5">
      <c r="A11" s="88" t="s">
        <v>92</v>
      </c>
      <c r="B11" s="214"/>
      <c r="C11" s="216"/>
      <c r="D11" s="55"/>
      <c r="E11" s="55"/>
      <c r="F11" s="55"/>
      <c r="G11" s="55"/>
      <c r="H11" s="55"/>
      <c r="I11" s="55"/>
      <c r="J11" s="228"/>
      <c r="K11" s="75"/>
    </row>
    <row r="12" spans="1:11" s="18" customFormat="1" ht="10.5">
      <c r="A12" s="88" t="s">
        <v>102</v>
      </c>
      <c r="B12" s="231" t="s">
        <v>221</v>
      </c>
      <c r="C12" s="435">
        <v>50000</v>
      </c>
      <c r="D12" s="434">
        <v>1</v>
      </c>
      <c r="E12" s="120">
        <f>+C12*D12</f>
        <v>50000</v>
      </c>
      <c r="F12" s="237">
        <v>0.27</v>
      </c>
      <c r="G12" s="120">
        <f>+E12*F12</f>
        <v>13500</v>
      </c>
      <c r="H12" s="120">
        <v>-40000</v>
      </c>
      <c r="I12" s="120"/>
      <c r="J12" s="267">
        <f>SUM(E12:I12)</f>
        <v>23500.269999999997</v>
      </c>
      <c r="K12" s="75"/>
    </row>
    <row r="13" spans="1:11" s="18" customFormat="1" ht="12.75">
      <c r="A13" s="223" t="s">
        <v>103</v>
      </c>
      <c r="B13" s="309" t="s">
        <v>221</v>
      </c>
      <c r="C13" s="229"/>
      <c r="D13" s="230"/>
      <c r="E13" s="230"/>
      <c r="F13" s="230"/>
      <c r="G13" s="268"/>
      <c r="H13" s="268"/>
      <c r="I13" s="269">
        <v>500</v>
      </c>
      <c r="J13" s="270">
        <f>SUM(E13:I13)</f>
        <v>500</v>
      </c>
      <c r="K13" s="76"/>
    </row>
    <row r="14" spans="1:11" ht="12.75">
      <c r="A14" s="329"/>
      <c r="B14" s="326"/>
      <c r="C14" s="327"/>
      <c r="D14" s="328"/>
      <c r="E14" s="386">
        <f>+C14*D14</f>
        <v>0</v>
      </c>
      <c r="F14" s="361">
        <v>0.27</v>
      </c>
      <c r="G14" s="386">
        <f>+E14*F14</f>
        <v>0</v>
      </c>
      <c r="H14" s="362"/>
      <c r="I14" s="362"/>
      <c r="J14" s="106">
        <f>+E14+G14+H14+I14</f>
        <v>0</v>
      </c>
      <c r="K14" s="388"/>
    </row>
    <row r="15" spans="1:11" ht="12.75">
      <c r="A15" s="323"/>
      <c r="B15" s="326"/>
      <c r="C15" s="327"/>
      <c r="D15" s="328"/>
      <c r="E15" s="386">
        <f aca="true" t="shared" si="0" ref="E15:E28">+C15*D15</f>
        <v>0</v>
      </c>
      <c r="F15" s="361">
        <v>0.27</v>
      </c>
      <c r="G15" s="386">
        <f>+E15*F15</f>
        <v>0</v>
      </c>
      <c r="H15" s="362"/>
      <c r="I15" s="362"/>
      <c r="J15" s="106">
        <f>+E15+G15+H15+I15</f>
        <v>0</v>
      </c>
      <c r="K15" s="388"/>
    </row>
    <row r="16" spans="1:11" ht="12.75">
      <c r="A16" s="323"/>
      <c r="B16" s="326"/>
      <c r="C16" s="327"/>
      <c r="D16" s="328"/>
      <c r="E16" s="386">
        <f t="shared" si="0"/>
        <v>0</v>
      </c>
      <c r="F16" s="361">
        <v>0.27</v>
      </c>
      <c r="G16" s="386">
        <f aca="true" t="shared" si="1" ref="G16:G28">+E16*F16</f>
        <v>0</v>
      </c>
      <c r="H16" s="362"/>
      <c r="I16" s="362"/>
      <c r="J16" s="106">
        <f aca="true" t="shared" si="2" ref="J16:J28">+E16+G16+H16+I16</f>
        <v>0</v>
      </c>
      <c r="K16" s="388"/>
    </row>
    <row r="17" spans="1:11" ht="12.75">
      <c r="A17" s="323"/>
      <c r="B17" s="326"/>
      <c r="C17" s="327"/>
      <c r="D17" s="328"/>
      <c r="E17" s="386">
        <f t="shared" si="0"/>
        <v>0</v>
      </c>
      <c r="F17" s="361">
        <v>0.27</v>
      </c>
      <c r="G17" s="386">
        <f t="shared" si="1"/>
        <v>0</v>
      </c>
      <c r="H17" s="362"/>
      <c r="I17" s="362"/>
      <c r="J17" s="106">
        <f t="shared" si="2"/>
        <v>0</v>
      </c>
      <c r="K17" s="388"/>
    </row>
    <row r="18" spans="1:11" ht="12.75">
      <c r="A18" s="329"/>
      <c r="B18" s="326"/>
      <c r="C18" s="327"/>
      <c r="D18" s="328"/>
      <c r="E18" s="386">
        <f t="shared" si="0"/>
        <v>0</v>
      </c>
      <c r="F18" s="361">
        <v>0.27</v>
      </c>
      <c r="G18" s="386">
        <f t="shared" si="1"/>
        <v>0</v>
      </c>
      <c r="H18" s="362"/>
      <c r="I18" s="362"/>
      <c r="J18" s="106">
        <f t="shared" si="2"/>
        <v>0</v>
      </c>
      <c r="K18" s="388"/>
    </row>
    <row r="19" spans="1:11" ht="12.75">
      <c r="A19" s="329"/>
      <c r="B19" s="326"/>
      <c r="C19" s="327"/>
      <c r="D19" s="328"/>
      <c r="E19" s="386">
        <f t="shared" si="0"/>
        <v>0</v>
      </c>
      <c r="F19" s="361">
        <v>0.27</v>
      </c>
      <c r="G19" s="386">
        <f t="shared" si="1"/>
        <v>0</v>
      </c>
      <c r="H19" s="362"/>
      <c r="I19" s="362"/>
      <c r="J19" s="106">
        <f t="shared" si="2"/>
        <v>0</v>
      </c>
      <c r="K19" s="388"/>
    </row>
    <row r="20" spans="1:11" ht="12.75">
      <c r="A20" s="329"/>
      <c r="B20" s="326"/>
      <c r="C20" s="327"/>
      <c r="D20" s="328"/>
      <c r="E20" s="386">
        <f t="shared" si="0"/>
        <v>0</v>
      </c>
      <c r="F20" s="361">
        <v>0.27</v>
      </c>
      <c r="G20" s="386">
        <f t="shared" si="1"/>
        <v>0</v>
      </c>
      <c r="H20" s="362"/>
      <c r="I20" s="362"/>
      <c r="J20" s="106">
        <f t="shared" si="2"/>
        <v>0</v>
      </c>
      <c r="K20" s="388"/>
    </row>
    <row r="21" spans="1:11" ht="12.75">
      <c r="A21" s="329"/>
      <c r="B21" s="326"/>
      <c r="C21" s="327"/>
      <c r="D21" s="328"/>
      <c r="E21" s="386">
        <f t="shared" si="0"/>
        <v>0</v>
      </c>
      <c r="F21" s="361">
        <v>0.27</v>
      </c>
      <c r="G21" s="386">
        <f t="shared" si="1"/>
        <v>0</v>
      </c>
      <c r="H21" s="362"/>
      <c r="I21" s="362"/>
      <c r="J21" s="106">
        <f t="shared" si="2"/>
        <v>0</v>
      </c>
      <c r="K21" s="388"/>
    </row>
    <row r="22" spans="1:11" ht="12.75">
      <c r="A22" s="329"/>
      <c r="B22" s="326"/>
      <c r="C22" s="327"/>
      <c r="D22" s="328"/>
      <c r="E22" s="386">
        <f t="shared" si="0"/>
        <v>0</v>
      </c>
      <c r="F22" s="361">
        <v>0.27</v>
      </c>
      <c r="G22" s="386">
        <f t="shared" si="1"/>
        <v>0</v>
      </c>
      <c r="H22" s="362"/>
      <c r="I22" s="362"/>
      <c r="J22" s="106">
        <f t="shared" si="2"/>
        <v>0</v>
      </c>
      <c r="K22" s="388"/>
    </row>
    <row r="23" spans="1:11" ht="12.75">
      <c r="A23" s="329"/>
      <c r="B23" s="326"/>
      <c r="C23" s="327"/>
      <c r="D23" s="328"/>
      <c r="E23" s="386">
        <f t="shared" si="0"/>
        <v>0</v>
      </c>
      <c r="F23" s="361">
        <v>0.27</v>
      </c>
      <c r="G23" s="387">
        <f t="shared" si="1"/>
        <v>0</v>
      </c>
      <c r="H23" s="362"/>
      <c r="I23" s="362"/>
      <c r="J23" s="106">
        <f t="shared" si="2"/>
        <v>0</v>
      </c>
      <c r="K23" s="388"/>
    </row>
    <row r="24" spans="1:11" ht="12.75">
      <c r="A24" s="329"/>
      <c r="B24" s="326"/>
      <c r="C24" s="327"/>
      <c r="D24" s="328"/>
      <c r="E24" s="386">
        <f t="shared" si="0"/>
        <v>0</v>
      </c>
      <c r="F24" s="361">
        <v>0.27</v>
      </c>
      <c r="G24" s="386">
        <f t="shared" si="1"/>
        <v>0</v>
      </c>
      <c r="H24" s="362"/>
      <c r="I24" s="362"/>
      <c r="J24" s="106">
        <f t="shared" si="2"/>
        <v>0</v>
      </c>
      <c r="K24" s="388"/>
    </row>
    <row r="25" spans="1:11" ht="12.75">
      <c r="A25" s="329"/>
      <c r="B25" s="326"/>
      <c r="C25" s="327"/>
      <c r="D25" s="328"/>
      <c r="E25" s="386">
        <f t="shared" si="0"/>
        <v>0</v>
      </c>
      <c r="F25" s="361">
        <v>0.27</v>
      </c>
      <c r="G25" s="386">
        <f t="shared" si="1"/>
        <v>0</v>
      </c>
      <c r="H25" s="362"/>
      <c r="I25" s="362"/>
      <c r="J25" s="106">
        <f t="shared" si="2"/>
        <v>0</v>
      </c>
      <c r="K25" s="388"/>
    </row>
    <row r="26" spans="1:11" ht="12.75">
      <c r="A26" s="329"/>
      <c r="B26" s="326"/>
      <c r="C26" s="327"/>
      <c r="D26" s="328"/>
      <c r="E26" s="386">
        <f t="shared" si="0"/>
        <v>0</v>
      </c>
      <c r="F26" s="361">
        <v>0.27</v>
      </c>
      <c r="G26" s="386">
        <f t="shared" si="1"/>
        <v>0</v>
      </c>
      <c r="H26" s="362"/>
      <c r="I26" s="362"/>
      <c r="J26" s="106">
        <f t="shared" si="2"/>
        <v>0</v>
      </c>
      <c r="K26" s="388"/>
    </row>
    <row r="27" spans="1:11" ht="12.75">
      <c r="A27" s="329"/>
      <c r="B27" s="326"/>
      <c r="C27" s="327"/>
      <c r="D27" s="328"/>
      <c r="E27" s="386">
        <f t="shared" si="0"/>
        <v>0</v>
      </c>
      <c r="F27" s="361">
        <v>0.27</v>
      </c>
      <c r="G27" s="386">
        <f t="shared" si="1"/>
        <v>0</v>
      </c>
      <c r="H27" s="362"/>
      <c r="I27" s="362"/>
      <c r="J27" s="106">
        <f t="shared" si="2"/>
        <v>0</v>
      </c>
      <c r="K27" s="388"/>
    </row>
    <row r="28" spans="1:11" ht="12.75">
      <c r="A28" s="331"/>
      <c r="B28" s="334"/>
      <c r="C28" s="327"/>
      <c r="D28" s="328"/>
      <c r="E28" s="386">
        <f t="shared" si="0"/>
        <v>0</v>
      </c>
      <c r="F28" s="361">
        <v>0.27</v>
      </c>
      <c r="G28" s="386">
        <f t="shared" si="1"/>
        <v>0</v>
      </c>
      <c r="H28" s="362"/>
      <c r="I28" s="362"/>
      <c r="J28" s="106">
        <f t="shared" si="2"/>
        <v>0</v>
      </c>
      <c r="K28" s="389"/>
    </row>
    <row r="29" spans="2:10" ht="12.75">
      <c r="B29" s="238" t="s">
        <v>62</v>
      </c>
      <c r="C29" s="110">
        <f>SUM(C14:C28)</f>
        <v>0</v>
      </c>
      <c r="D29" s="111"/>
      <c r="E29" s="111">
        <f>SUM(E14:E28)</f>
        <v>0</v>
      </c>
      <c r="F29" s="111"/>
      <c r="G29" s="111">
        <f>SUM(G14:G28)</f>
        <v>0</v>
      </c>
      <c r="H29" s="111">
        <f>SUM(H14:H28)</f>
        <v>0</v>
      </c>
      <c r="I29" s="111">
        <f>SUM(I14:I28)</f>
        <v>0</v>
      </c>
      <c r="J29" s="112">
        <f>SUM(J14:J28)</f>
        <v>0</v>
      </c>
    </row>
    <row r="32" spans="1:2" ht="13.5">
      <c r="A32" s="241" t="s">
        <v>151</v>
      </c>
      <c r="B32" s="5"/>
    </row>
    <row r="33" spans="1:11" ht="12.75">
      <c r="A33" s="1" t="s">
        <v>152</v>
      </c>
      <c r="B33" s="238"/>
      <c r="C33" s="1"/>
      <c r="D33" s="1"/>
      <c r="E33" s="1"/>
      <c r="F33" s="1"/>
      <c r="G33" s="1"/>
      <c r="H33" s="1"/>
      <c r="I33" s="1"/>
      <c r="J33" s="1"/>
      <c r="K33" s="1"/>
    </row>
    <row r="34" spans="1:11" ht="12.75">
      <c r="A34" s="1" t="s">
        <v>205</v>
      </c>
      <c r="B34" s="1"/>
      <c r="C34" s="1"/>
      <c r="D34" s="1"/>
      <c r="E34" s="1"/>
      <c r="F34" s="1"/>
      <c r="G34" s="1"/>
      <c r="H34" s="1"/>
      <c r="I34" s="1"/>
      <c r="J34" s="1"/>
      <c r="K34" s="1"/>
    </row>
    <row r="35" spans="1:7" ht="13.5">
      <c r="A35" s="170" t="s">
        <v>201</v>
      </c>
      <c r="B35" s="239"/>
      <c r="C35" s="239"/>
      <c r="D35" s="239"/>
      <c r="E35" s="239"/>
      <c r="F35" s="239"/>
      <c r="G35" s="239"/>
    </row>
    <row r="36" spans="1:4" ht="15.75">
      <c r="A36" s="169" t="s">
        <v>198</v>
      </c>
      <c r="B36" s="169"/>
      <c r="C36" s="240"/>
      <c r="D36" s="157"/>
    </row>
    <row r="37" spans="1:3" ht="16.5" thickBot="1">
      <c r="A37" s="151"/>
      <c r="B37" s="421" t="s">
        <v>222</v>
      </c>
      <c r="C37" s="424"/>
    </row>
    <row r="38" spans="1:3" ht="15.75">
      <c r="A38" s="250" t="s">
        <v>199</v>
      </c>
      <c r="B38" s="423">
        <v>0.27</v>
      </c>
      <c r="C38" s="424"/>
    </row>
    <row r="39" spans="1:3" ht="15.75">
      <c r="A39" s="250" t="s">
        <v>200</v>
      </c>
      <c r="B39" s="385">
        <v>0.24</v>
      </c>
      <c r="C39" s="424"/>
    </row>
    <row r="40" spans="1:3" ht="15.75">
      <c r="A40" s="250" t="s">
        <v>217</v>
      </c>
      <c r="B40" s="385">
        <v>0.088</v>
      </c>
      <c r="C40" s="424"/>
    </row>
    <row r="41" spans="1:3" ht="13.5">
      <c r="A41" s="250" t="s">
        <v>206</v>
      </c>
      <c r="B41" s="385">
        <v>0.312</v>
      </c>
      <c r="C41" s="2"/>
    </row>
  </sheetData>
  <sheetProtection password="CFCA" sheet="1" objects="1" scenarios="1"/>
  <mergeCells count="4">
    <mergeCell ref="A3:K3"/>
    <mergeCell ref="A4:K4"/>
    <mergeCell ref="F9:G9"/>
    <mergeCell ref="D5:F5"/>
  </mergeCells>
  <dataValidations count="2">
    <dataValidation type="decimal" showInputMessage="1" showErrorMessage="1" promptTitle="Effort %" prompt="Do not exceed 100%" errorTitle="Effort %" error="Effort % can not exceed 100%" sqref="D14:D28 D12">
      <formula1>0</formula1>
      <formula2>1</formula2>
    </dataValidation>
    <dataValidation type="whole" allowBlank="1" showInputMessage="1" showErrorMessage="1" prompt="The current NIH Salary Cap is $185,100.   The effective date is 1/10/2016." errorTitle="NIH Salary Cap" error="Use NIH Salary Cap of $185,100.&#10;The effective date is 1/10/2016." sqref="C12 C14:C28">
      <formula1>0</formula1>
      <formula2>185100</formula2>
    </dataValidation>
  </dataValidations>
  <printOptions gridLines="1"/>
  <pageMargins left="0.5" right="0.5" top="1" bottom="1" header="0.5" footer="0.5"/>
  <pageSetup fitToHeight="1" fitToWidth="1" horizontalDpi="600" verticalDpi="600" orientation="landscape" scale="77"/>
  <headerFooter alignWithMargins="0">
    <oddHeader>&amp;R&amp;"Arial,Bold"
</oddHeader>
    <oddFooter>&amp;LPrinted:&amp;D&amp;C&amp;F
&amp;A&amp;R3 Services FY 2017
Service Center Rate Cal Worksheet
Revised 6/28/16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F22" sqref="F22:F23"/>
    </sheetView>
  </sheetViews>
  <sheetFormatPr defaultColWidth="8.8515625" defaultRowHeight="12.75"/>
  <cols>
    <col min="1" max="1" width="16.7109375" style="0" customWidth="1"/>
    <col min="2" max="2" width="33.421875" style="0" customWidth="1"/>
    <col min="3" max="3" width="29.00390625" style="0" customWidth="1"/>
    <col min="4" max="4" width="15.140625" style="0" customWidth="1"/>
    <col min="5" max="8" width="12.8515625" style="0" customWidth="1"/>
    <col min="9" max="9" width="11.8515625" style="0" customWidth="1"/>
    <col min="10" max="10" width="11.421875" style="0" bestFit="1" customWidth="1"/>
    <col min="11" max="12" width="10.421875" style="0" bestFit="1" customWidth="1"/>
    <col min="13" max="13" width="16.421875" style="0" bestFit="1" customWidth="1"/>
    <col min="14" max="14" width="18.140625" style="0" customWidth="1"/>
  </cols>
  <sheetData>
    <row r="1" spans="1:12" ht="15">
      <c r="A1" s="102" t="s">
        <v>143</v>
      </c>
      <c r="B1" s="292">
        <f>'Salary and Wage'!B1</f>
        <v>0</v>
      </c>
      <c r="C1" s="291"/>
      <c r="D1" s="212"/>
      <c r="E1" s="212"/>
      <c r="F1" s="2"/>
      <c r="G1" s="2"/>
      <c r="H1" s="181"/>
      <c r="I1" s="317" t="s">
        <v>142</v>
      </c>
      <c r="J1" s="290">
        <f>'Salary and Wage'!F1</f>
        <v>0</v>
      </c>
      <c r="K1" s="290"/>
      <c r="L1" s="180"/>
    </row>
    <row r="2" spans="1:10" ht="15" customHeight="1">
      <c r="A2" s="102"/>
      <c r="B2" s="102"/>
      <c r="C2" s="2"/>
      <c r="D2" s="2"/>
      <c r="E2" s="2"/>
      <c r="F2" s="2"/>
      <c r="G2" s="2"/>
      <c r="H2" s="2"/>
      <c r="I2" s="102"/>
      <c r="J2" s="2"/>
    </row>
    <row r="3" spans="1:14" s="8" customFormat="1" ht="31.5">
      <c r="A3" s="436" t="s">
        <v>146</v>
      </c>
      <c r="B3" s="436"/>
      <c r="C3" s="436"/>
      <c r="D3" s="436"/>
      <c r="E3" s="436"/>
      <c r="F3" s="436"/>
      <c r="G3" s="436"/>
      <c r="H3" s="436"/>
      <c r="I3" s="436"/>
      <c r="J3" s="436"/>
      <c r="K3" s="436"/>
      <c r="L3" s="436"/>
      <c r="M3" s="436"/>
      <c r="N3" s="436"/>
    </row>
    <row r="4" spans="1:14" s="23" customFormat="1" ht="18">
      <c r="A4" s="437" t="s">
        <v>109</v>
      </c>
      <c r="B4" s="437"/>
      <c r="C4" s="437"/>
      <c r="D4" s="437"/>
      <c r="E4" s="437"/>
      <c r="F4" s="437"/>
      <c r="G4" s="437"/>
      <c r="H4" s="437"/>
      <c r="I4" s="437"/>
      <c r="J4" s="437"/>
      <c r="K4" s="437"/>
      <c r="L4" s="437"/>
      <c r="M4" s="437"/>
      <c r="N4" s="437"/>
    </row>
    <row r="5" spans="1:14" s="23" customFormat="1" ht="18">
      <c r="A5" s="22"/>
      <c r="B5" s="22"/>
      <c r="C5" s="22"/>
      <c r="D5" s="22"/>
      <c r="E5" s="437" t="s">
        <v>225</v>
      </c>
      <c r="F5" s="437"/>
      <c r="G5" s="437"/>
      <c r="H5" s="22"/>
      <c r="I5" s="22"/>
      <c r="J5" s="22"/>
      <c r="K5" s="22"/>
      <c r="L5" s="22"/>
      <c r="M5" s="22"/>
      <c r="N5" s="22"/>
    </row>
    <row r="6" spans="1:14" s="23" customFormat="1" ht="18">
      <c r="A6" s="22"/>
      <c r="B6" s="22"/>
      <c r="C6" s="22"/>
      <c r="D6" s="22"/>
      <c r="E6" s="22"/>
      <c r="F6" s="22"/>
      <c r="G6" s="22"/>
      <c r="H6" s="22"/>
      <c r="I6" s="22"/>
      <c r="J6" s="22"/>
      <c r="K6" s="22"/>
      <c r="L6" s="22"/>
      <c r="M6" s="22"/>
      <c r="N6" s="22"/>
    </row>
    <row r="7" spans="1:4" s="23" customFormat="1" ht="18.75" thickBot="1">
      <c r="A7" s="322"/>
      <c r="B7" s="248" t="s">
        <v>204</v>
      </c>
      <c r="D7" s="249"/>
    </row>
    <row r="8" spans="1:14" s="23" customFormat="1" ht="18.75" thickBot="1">
      <c r="A8" s="22"/>
      <c r="B8" s="22"/>
      <c r="C8" s="22"/>
      <c r="D8" s="22"/>
      <c r="E8" s="461" t="s">
        <v>122</v>
      </c>
      <c r="F8" s="462"/>
      <c r="G8" s="462"/>
      <c r="H8" s="463"/>
      <c r="I8" s="464" t="s">
        <v>123</v>
      </c>
      <c r="J8" s="464"/>
      <c r="K8" s="464"/>
      <c r="L8" s="464"/>
      <c r="M8" s="465"/>
      <c r="N8" s="251" t="s">
        <v>208</v>
      </c>
    </row>
    <row r="9" spans="1:14" ht="12.75">
      <c r="A9" s="11"/>
      <c r="B9" s="47"/>
      <c r="C9" s="47"/>
      <c r="D9" s="47"/>
      <c r="E9" s="458" t="s">
        <v>154</v>
      </c>
      <c r="F9" s="459"/>
      <c r="G9" s="458" t="s">
        <v>147</v>
      </c>
      <c r="H9" s="460"/>
      <c r="I9" s="89"/>
      <c r="J9" s="89"/>
      <c r="K9" s="89"/>
      <c r="L9" s="89"/>
      <c r="M9" s="90"/>
      <c r="N9" s="90"/>
    </row>
    <row r="10" spans="1:14" s="4" customFormat="1" ht="38.25" customHeight="1" thickBot="1">
      <c r="A10" s="204" t="s">
        <v>195</v>
      </c>
      <c r="B10" s="51" t="s">
        <v>112</v>
      </c>
      <c r="C10" s="234" t="s">
        <v>108</v>
      </c>
      <c r="D10" s="53" t="s">
        <v>120</v>
      </c>
      <c r="E10" s="91" t="s">
        <v>153</v>
      </c>
      <c r="F10" s="92" t="s">
        <v>121</v>
      </c>
      <c r="G10" s="91" t="s">
        <v>153</v>
      </c>
      <c r="H10" s="92" t="s">
        <v>121</v>
      </c>
      <c r="I10" s="91" t="s">
        <v>26</v>
      </c>
      <c r="J10" s="92" t="s">
        <v>27</v>
      </c>
      <c r="K10" s="92" t="s">
        <v>29</v>
      </c>
      <c r="L10" s="92" t="s">
        <v>31</v>
      </c>
      <c r="M10" s="93" t="s">
        <v>148</v>
      </c>
      <c r="N10" s="252" t="s">
        <v>207</v>
      </c>
    </row>
    <row r="11" spans="1:14" s="18" customFormat="1" ht="10.5">
      <c r="A11" s="88" t="s">
        <v>92</v>
      </c>
      <c r="B11" s="88"/>
      <c r="C11" s="231"/>
      <c r="D11" s="231"/>
      <c r="E11" s="88"/>
      <c r="F11" s="59"/>
      <c r="G11" s="59"/>
      <c r="H11" s="59"/>
      <c r="I11" s="97"/>
      <c r="J11" s="59"/>
      <c r="K11" s="59"/>
      <c r="L11" s="59"/>
      <c r="M11" s="98"/>
      <c r="N11" s="94"/>
    </row>
    <row r="12" spans="1:14" s="18" customFormat="1" ht="10.5">
      <c r="A12" s="88" t="s">
        <v>55</v>
      </c>
      <c r="B12" s="88"/>
      <c r="C12" s="232" t="s">
        <v>111</v>
      </c>
      <c r="D12" s="253">
        <f>SUM(E12:N12)</f>
        <v>1500</v>
      </c>
      <c r="E12" s="255">
        <v>100</v>
      </c>
      <c r="F12" s="126">
        <v>1000</v>
      </c>
      <c r="G12" s="126"/>
      <c r="H12" s="126">
        <v>200</v>
      </c>
      <c r="I12" s="256"/>
      <c r="J12" s="126"/>
      <c r="K12" s="126"/>
      <c r="L12" s="126"/>
      <c r="M12" s="257">
        <v>195</v>
      </c>
      <c r="N12" s="258">
        <v>5</v>
      </c>
    </row>
    <row r="13" spans="1:14" s="18" customFormat="1" ht="10.5">
      <c r="A13" s="223" t="s">
        <v>58</v>
      </c>
      <c r="B13" s="223"/>
      <c r="C13" s="233" t="s">
        <v>110</v>
      </c>
      <c r="D13" s="254">
        <f>SUM(E13:N13)</f>
        <v>300</v>
      </c>
      <c r="E13" s="255">
        <v>15</v>
      </c>
      <c r="F13" s="126">
        <v>250</v>
      </c>
      <c r="G13" s="126"/>
      <c r="H13" s="126"/>
      <c r="I13" s="256"/>
      <c r="J13" s="126"/>
      <c r="K13" s="126">
        <v>15</v>
      </c>
      <c r="L13" s="126"/>
      <c r="M13" s="257">
        <v>20</v>
      </c>
      <c r="N13" s="259"/>
    </row>
    <row r="14" spans="1:14" ht="12.75">
      <c r="A14" s="284" t="s">
        <v>55</v>
      </c>
      <c r="B14" s="363"/>
      <c r="C14" s="363"/>
      <c r="D14" s="246">
        <f>SUM(E14:N14)</f>
        <v>0</v>
      </c>
      <c r="E14" s="366"/>
      <c r="F14" s="367"/>
      <c r="G14" s="367"/>
      <c r="H14" s="367"/>
      <c r="I14" s="368"/>
      <c r="J14" s="367"/>
      <c r="K14" s="367"/>
      <c r="L14" s="367"/>
      <c r="M14" s="369"/>
      <c r="N14" s="370"/>
    </row>
    <row r="15" spans="1:14" s="78" customFormat="1" ht="12.75">
      <c r="A15" s="285" t="s">
        <v>58</v>
      </c>
      <c r="B15" s="364"/>
      <c r="C15" s="364"/>
      <c r="D15" s="246">
        <f>SUM(E15:N15)</f>
        <v>0</v>
      </c>
      <c r="E15" s="371"/>
      <c r="F15" s="372"/>
      <c r="G15" s="372"/>
      <c r="H15" s="372"/>
      <c r="I15" s="373"/>
      <c r="J15" s="372"/>
      <c r="K15" s="372"/>
      <c r="L15" s="372"/>
      <c r="M15" s="374"/>
      <c r="N15" s="375"/>
    </row>
    <row r="16" spans="1:14" s="78" customFormat="1" ht="12.75">
      <c r="A16" s="286" t="s">
        <v>155</v>
      </c>
      <c r="B16" s="364"/>
      <c r="C16" s="364"/>
      <c r="D16" s="246">
        <f>SUM(E16:N16)</f>
        <v>0</v>
      </c>
      <c r="E16" s="371"/>
      <c r="F16" s="372"/>
      <c r="G16" s="372"/>
      <c r="H16" s="372"/>
      <c r="I16" s="373"/>
      <c r="J16" s="372"/>
      <c r="K16" s="372"/>
      <c r="L16" s="372"/>
      <c r="M16" s="374"/>
      <c r="N16" s="375"/>
    </row>
    <row r="17" spans="1:14" ht="13.5" thickBot="1">
      <c r="A17" s="287"/>
      <c r="B17" s="365"/>
      <c r="C17" s="365"/>
      <c r="D17" s="247"/>
      <c r="E17" s="376"/>
      <c r="F17" s="377"/>
      <c r="G17" s="377"/>
      <c r="H17" s="377"/>
      <c r="I17" s="378"/>
      <c r="J17" s="379"/>
      <c r="K17" s="379"/>
      <c r="L17" s="379"/>
      <c r="M17" s="380"/>
      <c r="N17" s="381"/>
    </row>
    <row r="18" spans="1:4" ht="12.75">
      <c r="A18" s="2"/>
      <c r="B18" s="2"/>
      <c r="C18" s="2"/>
      <c r="D18" s="2"/>
    </row>
    <row r="19" spans="1:2" ht="12.75">
      <c r="A19" s="24"/>
      <c r="B19" s="24"/>
    </row>
    <row r="20" spans="1:2" ht="12.75">
      <c r="A20" s="18"/>
      <c r="B20" s="18"/>
    </row>
  </sheetData>
  <sheetProtection password="CFCA" sheet="1" objects="1" scenarios="1"/>
  <mergeCells count="7">
    <mergeCell ref="A3:N3"/>
    <mergeCell ref="A4:N4"/>
    <mergeCell ref="E9:F9"/>
    <mergeCell ref="G9:H9"/>
    <mergeCell ref="E8:H8"/>
    <mergeCell ref="I8:M8"/>
    <mergeCell ref="E5:G5"/>
  </mergeCells>
  <printOptions gridLines="1"/>
  <pageMargins left="0.5" right="0.5" top="1" bottom="1" header="0.5" footer="0.5"/>
  <pageSetup fitToHeight="1" fitToWidth="1" horizontalDpi="600" verticalDpi="600" orientation="landscape" scale="57"/>
  <headerFooter alignWithMargins="0">
    <oddHeader>&amp;R&amp;"Arial,Bold"
</oddHeader>
    <oddFooter>&amp;LPrinted:&amp;D&amp;C&amp;F
&amp;A&amp;R3 Services FY 2017
Service Center Rate Cal Worksheet
Revised 6/28/16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35"/>
  <sheetViews>
    <sheetView zoomScalePageLayoutView="0" workbookViewId="0" topLeftCell="A4">
      <selection activeCell="L7" sqref="L7"/>
    </sheetView>
  </sheetViews>
  <sheetFormatPr defaultColWidth="8.8515625" defaultRowHeight="12.75"/>
  <cols>
    <col min="1" max="1" width="35.7109375" style="0" customWidth="1"/>
    <col min="2" max="2" width="11.140625" style="0" customWidth="1"/>
    <col min="3" max="3" width="10.8515625" style="0" bestFit="1" customWidth="1"/>
    <col min="4" max="6" width="13.140625" style="0" hidden="1" customWidth="1"/>
    <col min="7" max="7" width="10.28125" style="0" bestFit="1" customWidth="1"/>
    <col min="8" max="8" width="1.7109375" style="0" customWidth="1"/>
    <col min="9" max="9" width="13.28125" style="0" customWidth="1"/>
    <col min="10" max="10" width="6.28125" style="0" customWidth="1"/>
    <col min="11" max="11" width="13.28125" style="0" customWidth="1"/>
    <col min="12" max="12" width="6.28125" style="0" customWidth="1"/>
    <col min="13" max="13" width="13.28125" style="0" customWidth="1"/>
    <col min="14" max="14" width="6.28125" style="0" customWidth="1"/>
    <col min="15" max="15" width="13.140625" style="0" bestFit="1" customWidth="1"/>
    <col min="16" max="17" width="6.28125" style="0" customWidth="1"/>
    <col min="18" max="18" width="18.421875" style="0" customWidth="1"/>
  </cols>
  <sheetData>
    <row r="1" spans="1:11" ht="15">
      <c r="A1" s="102" t="s">
        <v>143</v>
      </c>
      <c r="B1" s="292">
        <f>'Salary and Wage'!B1</f>
        <v>0</v>
      </c>
      <c r="C1" s="289"/>
      <c r="D1" s="289"/>
      <c r="E1" s="5"/>
      <c r="F1" s="102" t="s">
        <v>142</v>
      </c>
      <c r="H1" s="303"/>
      <c r="I1" s="315" t="s">
        <v>142</v>
      </c>
      <c r="J1" s="180"/>
      <c r="K1" s="307">
        <f>'Salary and Wage'!F1</f>
        <v>0</v>
      </c>
    </row>
    <row r="2" spans="1:8" ht="15" customHeight="1">
      <c r="A2" s="102"/>
      <c r="B2" s="2"/>
      <c r="C2" s="2"/>
      <c r="D2" s="2"/>
      <c r="E2" s="5"/>
      <c r="F2" s="102"/>
      <c r="G2" s="2"/>
      <c r="H2" s="2"/>
    </row>
    <row r="3" spans="1:21" s="8" customFormat="1" ht="31.5">
      <c r="A3" s="436" t="s">
        <v>146</v>
      </c>
      <c r="B3" s="436"/>
      <c r="C3" s="436"/>
      <c r="D3" s="436"/>
      <c r="E3" s="436"/>
      <c r="F3" s="436"/>
      <c r="G3" s="436"/>
      <c r="H3" s="436"/>
      <c r="I3" s="436"/>
      <c r="J3" s="436"/>
      <c r="K3" s="436"/>
      <c r="L3" s="436"/>
      <c r="M3" s="436"/>
      <c r="N3" s="436"/>
      <c r="O3" s="436"/>
      <c r="P3" s="20"/>
      <c r="Q3" s="20"/>
      <c r="R3" s="20"/>
      <c r="S3" s="20"/>
      <c r="T3" s="20"/>
      <c r="U3" s="20"/>
    </row>
    <row r="4" spans="1:21" s="23" customFormat="1" ht="18">
      <c r="A4" s="437" t="s">
        <v>79</v>
      </c>
      <c r="B4" s="437"/>
      <c r="C4" s="437"/>
      <c r="D4" s="437"/>
      <c r="E4" s="437"/>
      <c r="F4" s="437"/>
      <c r="G4" s="437"/>
      <c r="H4" s="437"/>
      <c r="I4" s="437"/>
      <c r="J4" s="437"/>
      <c r="K4" s="437"/>
      <c r="L4" s="437"/>
      <c r="M4" s="437"/>
      <c r="N4" s="437"/>
      <c r="O4" s="437"/>
      <c r="P4" s="22"/>
      <c r="Q4" s="22"/>
      <c r="R4" s="22"/>
      <c r="S4" s="22"/>
      <c r="T4" s="22"/>
      <c r="U4" s="22"/>
    </row>
    <row r="5" spans="1:21" s="23" customFormat="1" ht="18">
      <c r="A5" s="22"/>
      <c r="B5" s="22"/>
      <c r="C5" s="306"/>
      <c r="D5" s="22"/>
      <c r="E5" s="437" t="s">
        <v>225</v>
      </c>
      <c r="F5" s="437"/>
      <c r="G5" s="437"/>
      <c r="H5" s="437"/>
      <c r="I5" s="437"/>
      <c r="J5" s="22"/>
      <c r="K5" s="22"/>
      <c r="L5" s="22"/>
      <c r="M5" s="22"/>
      <c r="N5" s="22"/>
      <c r="O5" s="22"/>
      <c r="P5" s="22"/>
      <c r="Q5" s="22"/>
      <c r="R5" s="22"/>
      <c r="S5" s="22"/>
      <c r="T5" s="22"/>
      <c r="U5" s="22"/>
    </row>
    <row r="6" spans="1:21" s="23" customFormat="1" ht="18">
      <c r="A6" s="22"/>
      <c r="B6" s="22"/>
      <c r="C6" s="306"/>
      <c r="D6" s="22"/>
      <c r="E6" s="22"/>
      <c r="F6" s="22"/>
      <c r="G6" s="22"/>
      <c r="H6" s="22"/>
      <c r="I6" s="22"/>
      <c r="J6" s="22"/>
      <c r="K6" s="22"/>
      <c r="L6" s="22"/>
      <c r="M6" s="22"/>
      <c r="N6" s="22"/>
      <c r="O6" s="22"/>
      <c r="P6" s="22"/>
      <c r="Q6" s="22"/>
      <c r="R6" s="22"/>
      <c r="S6" s="22"/>
      <c r="T6" s="22"/>
      <c r="U6" s="22"/>
    </row>
    <row r="7" spans="1:21" s="23" customFormat="1" ht="18">
      <c r="A7" s="384"/>
      <c r="B7" s="248" t="s">
        <v>204</v>
      </c>
      <c r="C7" s="249"/>
      <c r="D7" s="22"/>
      <c r="E7" s="22"/>
      <c r="F7" s="22"/>
      <c r="G7" s="22"/>
      <c r="H7" s="22"/>
      <c r="I7" s="22"/>
      <c r="J7" s="22"/>
      <c r="K7" s="22"/>
      <c r="L7" s="22"/>
      <c r="M7" s="22"/>
      <c r="N7" s="22"/>
      <c r="O7" s="22"/>
      <c r="P7" s="22"/>
      <c r="Q7" s="22"/>
      <c r="R7" s="22"/>
      <c r="S7" s="22"/>
      <c r="T7" s="22"/>
      <c r="U7" s="22"/>
    </row>
    <row r="8" spans="1:21" s="23" customFormat="1" ht="18">
      <c r="A8" s="22"/>
      <c r="B8" s="22"/>
      <c r="C8" s="22"/>
      <c r="D8" s="22"/>
      <c r="E8" s="22"/>
      <c r="F8" s="22"/>
      <c r="G8" s="22"/>
      <c r="H8" s="22"/>
      <c r="I8" s="22"/>
      <c r="J8" s="22"/>
      <c r="K8" s="22"/>
      <c r="L8" s="22"/>
      <c r="M8" s="22"/>
      <c r="N8" s="22"/>
      <c r="O8" s="22"/>
      <c r="P8" s="22"/>
      <c r="Q8" s="22"/>
      <c r="R8" s="22"/>
      <c r="S8" s="22"/>
      <c r="T8" s="22"/>
      <c r="U8" s="22"/>
    </row>
    <row r="9" spans="1:21" s="23" customFormat="1" ht="18">
      <c r="A9" s="22"/>
      <c r="B9" s="22"/>
      <c r="C9" s="22"/>
      <c r="D9" s="22"/>
      <c r="E9" s="22"/>
      <c r="F9" s="22"/>
      <c r="G9" s="22"/>
      <c r="H9" s="22"/>
      <c r="I9" s="115" t="s">
        <v>55</v>
      </c>
      <c r="J9" s="22"/>
      <c r="K9" s="115" t="s">
        <v>58</v>
      </c>
      <c r="L9" s="22"/>
      <c r="M9" s="115" t="s">
        <v>155</v>
      </c>
      <c r="N9" s="22"/>
      <c r="O9" s="22"/>
      <c r="P9" s="22"/>
      <c r="Q9" s="22"/>
      <c r="R9" s="22"/>
      <c r="S9" s="22"/>
      <c r="T9" s="22"/>
      <c r="U9" s="22"/>
    </row>
    <row r="10" spans="1:21" s="23" customFormat="1" ht="19.5" customHeight="1">
      <c r="A10" s="65" t="s">
        <v>80</v>
      </c>
      <c r="B10" s="22"/>
      <c r="C10" s="22"/>
      <c r="D10" s="466" t="s">
        <v>81</v>
      </c>
      <c r="E10" s="467"/>
      <c r="F10" s="467"/>
      <c r="G10" s="304"/>
      <c r="H10" s="22"/>
      <c r="I10" s="468">
        <f>+'Forecasted Usage'!B14</f>
        <v>0</v>
      </c>
      <c r="J10" s="132"/>
      <c r="K10" s="468">
        <f>+'Forecasted Usage'!B15</f>
        <v>0</v>
      </c>
      <c r="L10" s="132"/>
      <c r="M10" s="468">
        <f>'Forecasted Usage'!B16</f>
        <v>0</v>
      </c>
      <c r="N10" s="22"/>
      <c r="O10" s="22"/>
      <c r="P10" s="22"/>
      <c r="Q10" s="22"/>
      <c r="R10" s="22"/>
      <c r="S10" s="22"/>
      <c r="T10" s="22"/>
      <c r="U10" s="22"/>
    </row>
    <row r="11" spans="1:18" s="8" customFormat="1" ht="19.5" customHeight="1">
      <c r="A11" s="9"/>
      <c r="B11" s="17"/>
      <c r="C11" s="17"/>
      <c r="D11" s="243" t="s">
        <v>55</v>
      </c>
      <c r="E11" s="244" t="s">
        <v>58</v>
      </c>
      <c r="F11" s="244" t="s">
        <v>0</v>
      </c>
      <c r="G11" s="64"/>
      <c r="H11" s="64"/>
      <c r="I11" s="469"/>
      <c r="J11" s="64"/>
      <c r="K11" s="469"/>
      <c r="L11" s="64"/>
      <c r="M11" s="470"/>
      <c r="N11" s="64"/>
      <c r="O11" s="115" t="s">
        <v>0</v>
      </c>
      <c r="P11" s="61"/>
      <c r="Q11" s="62"/>
      <c r="R11" s="9"/>
    </row>
    <row r="12" spans="1:18" s="8" customFormat="1" ht="12.75">
      <c r="A12" s="9"/>
      <c r="B12" s="17"/>
      <c r="C12" s="17"/>
      <c r="D12" s="205"/>
      <c r="E12" s="17"/>
      <c r="F12" s="17"/>
      <c r="G12" s="61"/>
      <c r="H12" s="61"/>
      <c r="I12" s="17"/>
      <c r="J12" s="61"/>
      <c r="K12" s="17"/>
      <c r="L12" s="61"/>
      <c r="M12" s="17"/>
      <c r="N12" s="61"/>
      <c r="O12" s="17"/>
      <c r="P12" s="61"/>
      <c r="Q12" s="62"/>
      <c r="R12" s="9"/>
    </row>
    <row r="13" spans="1:18" s="18" customFormat="1" ht="12.75">
      <c r="A13" s="9" t="s">
        <v>93</v>
      </c>
      <c r="B13" s="54"/>
      <c r="C13" s="54"/>
      <c r="D13" s="266">
        <f>SUM('Salary and Wage'!K13)</f>
        <v>33242.4525</v>
      </c>
      <c r="E13" s="142">
        <f>SUM('Salary and Wage'!M13)</f>
        <v>11080.8175</v>
      </c>
      <c r="F13" s="142">
        <f>SUM(D13:E13)</f>
        <v>44323.27</v>
      </c>
      <c r="G13" s="56" t="s">
        <v>87</v>
      </c>
      <c r="H13" s="56"/>
      <c r="I13" s="142">
        <f>SUM('Salary and Wage'!K48)</f>
        <v>0</v>
      </c>
      <c r="J13" s="136"/>
      <c r="K13" s="142">
        <f>SUM('Salary and Wage'!M48)</f>
        <v>0</v>
      </c>
      <c r="L13" s="136"/>
      <c r="M13" s="142">
        <f>SUM('Salary and Wage'!O48)</f>
        <v>0</v>
      </c>
      <c r="N13" s="136"/>
      <c r="O13" s="142">
        <f>SUM(I13:M13)</f>
        <v>0</v>
      </c>
      <c r="P13" s="56"/>
      <c r="Q13" s="63"/>
      <c r="R13" s="59"/>
    </row>
    <row r="14" spans="1:18" s="18" customFormat="1" ht="10.5">
      <c r="A14" s="59"/>
      <c r="B14" s="54"/>
      <c r="C14" s="54"/>
      <c r="D14" s="265"/>
      <c r="E14" s="120"/>
      <c r="F14" s="120"/>
      <c r="G14" s="56"/>
      <c r="H14" s="56"/>
      <c r="I14" s="120"/>
      <c r="J14" s="136"/>
      <c r="K14" s="120"/>
      <c r="L14" s="136"/>
      <c r="M14" s="120"/>
      <c r="N14" s="136"/>
      <c r="O14" s="120"/>
      <c r="P14" s="56"/>
      <c r="Q14" s="63"/>
      <c r="R14" s="59"/>
    </row>
    <row r="15" spans="1:18" s="18" customFormat="1" ht="12.75">
      <c r="A15" s="9" t="s">
        <v>82</v>
      </c>
      <c r="B15" s="54"/>
      <c r="C15" s="54"/>
      <c r="D15" s="266">
        <f>SUM('Other Direct Expenses'!D14:D15)</f>
        <v>5600</v>
      </c>
      <c r="E15" s="142">
        <f>SUM('Other Direct Expenses'!F14:F15)</f>
        <v>600</v>
      </c>
      <c r="F15" s="142">
        <f>SUM(D15:E15)</f>
        <v>6200</v>
      </c>
      <c r="G15" s="56" t="s">
        <v>88</v>
      </c>
      <c r="H15" s="56"/>
      <c r="I15" s="142">
        <f>SUM('Other Direct Expenses'!D31)</f>
        <v>0</v>
      </c>
      <c r="J15" s="136"/>
      <c r="K15" s="142">
        <f>SUM('Other Direct Expenses'!F31)</f>
        <v>0</v>
      </c>
      <c r="L15" s="136"/>
      <c r="M15" s="142">
        <f>SUM('Other Direct Expenses'!H31)</f>
        <v>0</v>
      </c>
      <c r="N15" s="136"/>
      <c r="O15" s="142">
        <f>SUM(I15:M15)</f>
        <v>0</v>
      </c>
      <c r="P15" s="56"/>
      <c r="Q15" s="63"/>
      <c r="R15" s="59"/>
    </row>
    <row r="16" spans="1:18" s="8" customFormat="1" ht="12.75">
      <c r="A16" s="9"/>
      <c r="B16" s="17"/>
      <c r="C16" s="17"/>
      <c r="D16" s="208"/>
      <c r="E16" s="125"/>
      <c r="F16" s="125"/>
      <c r="G16" s="71"/>
      <c r="H16" s="71"/>
      <c r="I16" s="125"/>
      <c r="J16" s="117"/>
      <c r="K16" s="125"/>
      <c r="L16" s="117"/>
      <c r="M16" s="125"/>
      <c r="N16" s="117"/>
      <c r="O16" s="125"/>
      <c r="P16" s="71"/>
      <c r="Q16" s="63"/>
      <c r="R16" s="9"/>
    </row>
    <row r="17" spans="1:18" s="8" customFormat="1" ht="12.75">
      <c r="A17" s="9" t="s">
        <v>209</v>
      </c>
      <c r="B17" s="17"/>
      <c r="C17" s="17"/>
      <c r="D17" s="266">
        <f>SUM('Equipment Depreciation'!K14)</f>
        <v>10625</v>
      </c>
      <c r="E17" s="142">
        <f>SUM('Equipment Depreciation'!M14)</f>
        <v>0</v>
      </c>
      <c r="F17" s="142">
        <f>SUM(D17:E17)</f>
        <v>10625</v>
      </c>
      <c r="G17" s="56" t="s">
        <v>89</v>
      </c>
      <c r="H17" s="56"/>
      <c r="I17" s="142">
        <f>SUM('Equipment Depreciation'!K25)</f>
        <v>0</v>
      </c>
      <c r="J17" s="136"/>
      <c r="K17" s="142">
        <f>SUM('Equipment Depreciation'!M25)</f>
        <v>0</v>
      </c>
      <c r="L17" s="136"/>
      <c r="M17" s="142">
        <f>SUM('Equipment Depreciation'!O25)</f>
        <v>0</v>
      </c>
      <c r="N17" s="136"/>
      <c r="O17" s="142">
        <f>SUM(I17:M17)</f>
        <v>0</v>
      </c>
      <c r="P17" s="71"/>
      <c r="Q17" s="63"/>
      <c r="R17" s="9"/>
    </row>
    <row r="18" spans="1:18" s="8" customFormat="1" ht="12.75">
      <c r="A18" s="9"/>
      <c r="B18" s="17"/>
      <c r="C18" s="17"/>
      <c r="D18" s="208"/>
      <c r="E18" s="125"/>
      <c r="F18" s="125"/>
      <c r="G18" s="71"/>
      <c r="H18" s="71"/>
      <c r="I18" s="125"/>
      <c r="J18" s="117"/>
      <c r="K18" s="125"/>
      <c r="L18" s="117"/>
      <c r="M18" s="125"/>
      <c r="N18" s="117"/>
      <c r="O18" s="125"/>
      <c r="P18" s="71"/>
      <c r="Q18" s="63"/>
      <c r="R18" s="9"/>
    </row>
    <row r="19" spans="1:18" s="8" customFormat="1" ht="12.75">
      <c r="A19" s="9" t="s">
        <v>104</v>
      </c>
      <c r="B19" s="17"/>
      <c r="C19" s="17"/>
      <c r="D19" s="271">
        <f>SUM(D13:D18)</f>
        <v>49467.4525</v>
      </c>
      <c r="E19" s="129">
        <f>SUM(E13:E18)</f>
        <v>11680.8175</v>
      </c>
      <c r="F19" s="129">
        <f>SUM(D19:E19)</f>
        <v>61148.27</v>
      </c>
      <c r="G19" s="56" t="s">
        <v>90</v>
      </c>
      <c r="H19" s="56"/>
      <c r="I19" s="129">
        <f>SUM(I13:I18)</f>
        <v>0</v>
      </c>
      <c r="J19" s="136"/>
      <c r="K19" s="129">
        <f>SUM(K13:K18)</f>
        <v>0</v>
      </c>
      <c r="L19" s="136"/>
      <c r="M19" s="129">
        <f>SUM(M13:M18)</f>
        <v>0</v>
      </c>
      <c r="N19" s="136"/>
      <c r="O19" s="129">
        <f>SUM(O13:O18)</f>
        <v>0</v>
      </c>
      <c r="P19" s="71"/>
      <c r="Q19" s="63"/>
      <c r="R19" s="9"/>
    </row>
    <row r="20" spans="1:18" s="8" customFormat="1" ht="12.75">
      <c r="A20" s="9"/>
      <c r="B20" s="17"/>
      <c r="C20" s="17"/>
      <c r="D20" s="208"/>
      <c r="E20" s="125"/>
      <c r="F20" s="125"/>
      <c r="G20" s="71"/>
      <c r="H20" s="71"/>
      <c r="I20" s="70"/>
      <c r="J20" s="71"/>
      <c r="K20" s="70"/>
      <c r="L20" s="71"/>
      <c r="M20" s="70"/>
      <c r="N20" s="71"/>
      <c r="O20" s="70"/>
      <c r="P20" s="71"/>
      <c r="Q20" s="63"/>
      <c r="R20" s="9"/>
    </row>
    <row r="21" spans="1:18" s="8" customFormat="1" ht="12.75">
      <c r="A21" s="9" t="s">
        <v>210</v>
      </c>
      <c r="B21" s="17"/>
      <c r="C21" s="17"/>
      <c r="D21" s="272"/>
      <c r="E21" s="120"/>
      <c r="F21" s="142">
        <f>SUM('Admin. Overhead Expenses'!J12:J13)</f>
        <v>24000.269999999997</v>
      </c>
      <c r="G21" s="56" t="s">
        <v>91</v>
      </c>
      <c r="H21" s="67"/>
      <c r="I21" s="67"/>
      <c r="J21" s="55"/>
      <c r="K21" s="67"/>
      <c r="L21" s="71"/>
      <c r="M21" s="67"/>
      <c r="N21" s="71"/>
      <c r="O21" s="300">
        <f>SUM('Admin. Overhead Expenses'!J29)</f>
        <v>0</v>
      </c>
      <c r="P21" s="71"/>
      <c r="Q21" s="63"/>
      <c r="R21" s="9"/>
    </row>
    <row r="22" spans="1:18" s="8" customFormat="1" ht="12.75">
      <c r="A22" s="9" t="s">
        <v>83</v>
      </c>
      <c r="B22" s="17"/>
      <c r="C22" s="17"/>
      <c r="D22" s="272"/>
      <c r="E22" s="120"/>
      <c r="F22" s="142">
        <v>1000</v>
      </c>
      <c r="G22" s="56" t="s">
        <v>106</v>
      </c>
      <c r="H22" s="67"/>
      <c r="I22" s="9"/>
      <c r="J22" s="55"/>
      <c r="K22" s="55"/>
      <c r="L22" s="56"/>
      <c r="M22" s="55"/>
      <c r="N22" s="56"/>
      <c r="O22" s="382">
        <v>0</v>
      </c>
      <c r="P22" s="71"/>
      <c r="Q22" s="63"/>
      <c r="R22" s="9"/>
    </row>
    <row r="23" spans="1:18" s="8" customFormat="1" ht="12.75">
      <c r="A23" s="9"/>
      <c r="B23" s="17"/>
      <c r="C23" s="17"/>
      <c r="D23" s="265"/>
      <c r="E23" s="120"/>
      <c r="F23" s="120"/>
      <c r="G23" s="56"/>
      <c r="H23" s="67"/>
      <c r="I23" s="55"/>
      <c r="J23" s="55"/>
      <c r="K23" s="55"/>
      <c r="L23" s="56"/>
      <c r="M23" s="55"/>
      <c r="N23" s="56"/>
      <c r="O23" s="77"/>
      <c r="P23" s="71"/>
      <c r="Q23" s="63"/>
      <c r="R23" s="9"/>
    </row>
    <row r="24" spans="1:18" s="8" customFormat="1" ht="12.75">
      <c r="A24" s="9" t="s">
        <v>105</v>
      </c>
      <c r="B24" s="17"/>
      <c r="C24" s="17"/>
      <c r="D24" s="272"/>
      <c r="E24" s="120"/>
      <c r="F24" s="129">
        <f>SUM(F21:F22)</f>
        <v>25000.269999999997</v>
      </c>
      <c r="G24" s="56" t="s">
        <v>107</v>
      </c>
      <c r="H24" s="67"/>
      <c r="I24" s="67"/>
      <c r="J24" s="55"/>
      <c r="K24" s="67"/>
      <c r="L24" s="67"/>
      <c r="M24" s="67"/>
      <c r="N24" s="56"/>
      <c r="O24" s="301">
        <f>SUM(O21:O23)</f>
        <v>0</v>
      </c>
      <c r="P24" s="71"/>
      <c r="Q24" s="63"/>
      <c r="R24" s="9"/>
    </row>
    <row r="25" spans="1:18" s="8" customFormat="1" ht="12.75">
      <c r="A25" s="9" t="s">
        <v>119</v>
      </c>
      <c r="B25" s="17"/>
      <c r="C25" s="17"/>
      <c r="D25" s="272"/>
      <c r="E25" s="120"/>
      <c r="F25" s="136">
        <f>F24/SUM(F19)</f>
        <v>0.4088467261624899</v>
      </c>
      <c r="G25" s="56" t="s">
        <v>114</v>
      </c>
      <c r="H25" s="67"/>
      <c r="I25" s="66"/>
      <c r="J25" s="55"/>
      <c r="K25" s="66"/>
      <c r="L25" s="71"/>
      <c r="M25" s="66"/>
      <c r="N25" s="71"/>
      <c r="O25" s="56">
        <f>IF(O24&lt;&gt;0,O24/SUM(O19),0)</f>
        <v>0</v>
      </c>
      <c r="P25" s="71"/>
      <c r="Q25" s="63"/>
      <c r="R25" s="9"/>
    </row>
    <row r="26" spans="1:18" s="8" customFormat="1" ht="12.75">
      <c r="A26" s="9"/>
      <c r="B26" s="17"/>
      <c r="C26" s="17"/>
      <c r="D26" s="208"/>
      <c r="E26" s="125"/>
      <c r="F26" s="125"/>
      <c r="G26" s="71"/>
      <c r="H26" s="71"/>
      <c r="I26" s="70"/>
      <c r="J26" s="71"/>
      <c r="K26" s="70"/>
      <c r="L26" s="71"/>
      <c r="M26" s="70"/>
      <c r="N26" s="71"/>
      <c r="O26" s="70"/>
      <c r="P26" s="71"/>
      <c r="Q26" s="63"/>
      <c r="R26" s="9"/>
    </row>
    <row r="27" spans="1:18" s="8" customFormat="1" ht="12.75">
      <c r="A27" s="9" t="s">
        <v>211</v>
      </c>
      <c r="B27" s="17"/>
      <c r="C27" s="17"/>
      <c r="D27" s="271">
        <f>D19*$F$25</f>
        <v>20224.606006223476</v>
      </c>
      <c r="E27" s="129">
        <f>E19*$F$25</f>
        <v>4775.663993776519</v>
      </c>
      <c r="F27" s="129">
        <f>SUM(D27:E27)</f>
        <v>25000.269999999997</v>
      </c>
      <c r="G27" s="56" t="s">
        <v>115</v>
      </c>
      <c r="H27" s="71"/>
      <c r="I27" s="142">
        <f>I19*$O$25</f>
        <v>0</v>
      </c>
      <c r="J27" s="125"/>
      <c r="K27" s="142">
        <f>K19*$O$25</f>
        <v>0</v>
      </c>
      <c r="L27" s="117"/>
      <c r="M27" s="142">
        <f>M19*$O$25</f>
        <v>0</v>
      </c>
      <c r="N27" s="71"/>
      <c r="O27" s="142">
        <f>SUM(I27:M27)</f>
        <v>0</v>
      </c>
      <c r="P27" s="71"/>
      <c r="Q27" s="63"/>
      <c r="R27" s="9"/>
    </row>
    <row r="28" spans="4:7" ht="12.75">
      <c r="D28" s="273"/>
      <c r="E28" s="274"/>
      <c r="F28" s="274"/>
      <c r="G28" s="305"/>
    </row>
    <row r="29" spans="1:18" s="8" customFormat="1" ht="12.75">
      <c r="A29" s="9" t="s">
        <v>85</v>
      </c>
      <c r="B29" s="17"/>
      <c r="C29" s="17"/>
      <c r="D29" s="271">
        <f>SUM(D19,D27)</f>
        <v>69692.05850622347</v>
      </c>
      <c r="E29" s="129">
        <f>SUM(E19,E27)</f>
        <v>16456.48149377652</v>
      </c>
      <c r="F29" s="129">
        <f>SUM(F19,F27)</f>
        <v>86148.54</v>
      </c>
      <c r="G29" s="56" t="s">
        <v>116</v>
      </c>
      <c r="H29" s="56"/>
      <c r="I29" s="129">
        <f>SUM(I19,I27)</f>
        <v>0</v>
      </c>
      <c r="J29" s="136"/>
      <c r="K29" s="129">
        <f>SUM(K19,K27)</f>
        <v>0</v>
      </c>
      <c r="L29" s="136"/>
      <c r="M29" s="129">
        <f>SUM(M19,M27)</f>
        <v>0</v>
      </c>
      <c r="N29" s="136"/>
      <c r="O29" s="129">
        <f>SUM(O19,O27)</f>
        <v>0</v>
      </c>
      <c r="P29" s="71"/>
      <c r="Q29" s="63"/>
      <c r="R29" s="9"/>
    </row>
    <row r="30" spans="1:18" s="8" customFormat="1" ht="12.75">
      <c r="A30" s="9"/>
      <c r="B30" s="17"/>
      <c r="C30" s="17"/>
      <c r="D30" s="208"/>
      <c r="E30" s="125"/>
      <c r="F30" s="125"/>
      <c r="G30" s="71"/>
      <c r="H30" s="71"/>
      <c r="I30" s="70"/>
      <c r="J30" s="71"/>
      <c r="K30" s="70"/>
      <c r="L30" s="71"/>
      <c r="M30" s="70"/>
      <c r="N30" s="71"/>
      <c r="O30" s="70"/>
      <c r="P30" s="71"/>
      <c r="Q30" s="63"/>
      <c r="R30" s="9"/>
    </row>
    <row r="31" spans="1:18" s="8" customFormat="1" ht="13.5">
      <c r="A31" s="72" t="s">
        <v>84</v>
      </c>
      <c r="B31" s="17"/>
      <c r="C31" s="17"/>
      <c r="D31" s="208"/>
      <c r="E31" s="125"/>
      <c r="F31" s="125"/>
      <c r="G31" s="71"/>
      <c r="H31" s="71"/>
      <c r="I31" s="70"/>
      <c r="J31" s="71"/>
      <c r="K31" s="70"/>
      <c r="L31" s="71"/>
      <c r="M31" s="70"/>
      <c r="N31" s="71"/>
      <c r="O31" s="70"/>
      <c r="P31" s="71"/>
      <c r="Q31" s="63"/>
      <c r="R31" s="9"/>
    </row>
    <row r="32" spans="1:18" s="8" customFormat="1" ht="12.75">
      <c r="A32" s="9" t="s">
        <v>113</v>
      </c>
      <c r="B32" s="17"/>
      <c r="C32" s="17"/>
      <c r="D32" s="266">
        <f>SUM('Forecasted Usage'!D12)</f>
        <v>1500</v>
      </c>
      <c r="E32" s="142">
        <f>SUM('Forecasted Usage'!D13)</f>
        <v>300</v>
      </c>
      <c r="F32" s="120"/>
      <c r="G32" s="56" t="s">
        <v>117</v>
      </c>
      <c r="H32" s="56"/>
      <c r="I32" s="116">
        <f>+'Forecasted Usage'!D14</f>
        <v>0</v>
      </c>
      <c r="J32" s="96"/>
      <c r="K32" s="116">
        <f>+'Forecasted Usage'!D15</f>
        <v>0</v>
      </c>
      <c r="L32" s="56"/>
      <c r="M32" s="116">
        <f>+'Forecasted Usage'!D16</f>
        <v>0</v>
      </c>
      <c r="N32" s="56"/>
      <c r="O32" s="77"/>
      <c r="P32" s="71"/>
      <c r="Q32" s="63"/>
      <c r="R32" s="9"/>
    </row>
    <row r="33" spans="1:18" s="8" customFormat="1" ht="12.75">
      <c r="A33" s="9"/>
      <c r="B33" s="17"/>
      <c r="C33" s="17"/>
      <c r="D33" s="208"/>
      <c r="E33" s="125"/>
      <c r="F33" s="125"/>
      <c r="G33" s="9"/>
      <c r="H33" s="71"/>
      <c r="I33" s="70"/>
      <c r="J33" s="71"/>
      <c r="K33" s="70"/>
      <c r="L33" s="71"/>
      <c r="M33" s="70"/>
      <c r="N33" s="71"/>
      <c r="O33" s="70"/>
      <c r="P33" s="71"/>
      <c r="Q33" s="63"/>
      <c r="R33" s="9"/>
    </row>
    <row r="34" spans="1:18" s="8" customFormat="1" ht="15" thickBot="1">
      <c r="A34" s="72" t="s">
        <v>86</v>
      </c>
      <c r="B34" s="17"/>
      <c r="C34" s="17"/>
      <c r="D34" s="275">
        <f>D29/D32</f>
        <v>46.46137233748232</v>
      </c>
      <c r="E34" s="276">
        <f>E29/E32</f>
        <v>54.854938312588395</v>
      </c>
      <c r="F34" s="120"/>
      <c r="G34" s="56" t="s">
        <v>118</v>
      </c>
      <c r="H34" s="71"/>
      <c r="I34" s="118">
        <f>IF(I29&gt;0,I29/I32,0)</f>
        <v>0</v>
      </c>
      <c r="J34" s="119"/>
      <c r="K34" s="118">
        <f>IF(K29&gt;0,K29/K32,0)</f>
        <v>0</v>
      </c>
      <c r="L34" s="119"/>
      <c r="M34" s="118">
        <f>IF(M29&gt;0,M29/M32,0)</f>
        <v>0</v>
      </c>
      <c r="N34" s="71"/>
      <c r="O34" s="55"/>
      <c r="P34" s="71"/>
      <c r="Q34" s="63"/>
      <c r="R34" s="9"/>
    </row>
    <row r="35" spans="1:18" ht="13.5" thickTop="1">
      <c r="A35" s="2"/>
      <c r="B35" s="2"/>
      <c r="C35" s="6"/>
      <c r="D35" s="85"/>
      <c r="E35" s="86"/>
      <c r="F35" s="86"/>
      <c r="G35" s="46"/>
      <c r="H35" s="46"/>
      <c r="I35" s="46"/>
      <c r="J35" s="46"/>
      <c r="K35" s="46"/>
      <c r="L35" s="46"/>
      <c r="M35" s="46"/>
      <c r="N35" s="46"/>
      <c r="O35" s="46"/>
      <c r="P35" s="2"/>
      <c r="Q35" s="2"/>
      <c r="R35" s="2"/>
    </row>
  </sheetData>
  <sheetProtection password="CFCA" sheet="1" objects="1" scenarios="1"/>
  <mergeCells count="7">
    <mergeCell ref="D10:F10"/>
    <mergeCell ref="A3:O3"/>
    <mergeCell ref="A4:O4"/>
    <mergeCell ref="I10:I11"/>
    <mergeCell ref="K10:K11"/>
    <mergeCell ref="M10:M11"/>
    <mergeCell ref="E5:I5"/>
  </mergeCells>
  <printOptions gridLines="1"/>
  <pageMargins left="0.5" right="0.5" top="1" bottom="1" header="0.5" footer="0.5"/>
  <pageSetup fitToHeight="1" fitToWidth="1" horizontalDpi="600" verticalDpi="600" orientation="landscape" scale="91"/>
  <headerFooter alignWithMargins="0">
    <oddHeader>&amp;R&amp;"Arial,Bold"
</oddHeader>
    <oddFooter>&amp;LPrinted:&amp;D&amp;C&amp;F
&amp;A&amp;R3 Services FY 2017
Service Center Rate Cal Worksheet
Revised 6/28/16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L7" sqref="L7"/>
    </sheetView>
  </sheetViews>
  <sheetFormatPr defaultColWidth="8.8515625" defaultRowHeight="12.75"/>
  <cols>
    <col min="1" max="1" width="35.7109375" style="0" customWidth="1"/>
    <col min="2" max="2" width="11.140625" style="0" customWidth="1"/>
    <col min="3" max="3" width="1.28515625" style="0" customWidth="1"/>
    <col min="4" max="5" width="13.140625" style="0" hidden="1" customWidth="1"/>
    <col min="6" max="6" width="6.28125" style="0" hidden="1" customWidth="1"/>
    <col min="7" max="7" width="13.28125" style="0" customWidth="1"/>
    <col min="8" max="8" width="6.28125" style="0" customWidth="1"/>
    <col min="9" max="9" width="13.28125" style="0" customWidth="1"/>
    <col min="10" max="10" width="6.28125" style="0" customWidth="1"/>
    <col min="11" max="11" width="13.28125" style="0" customWidth="1"/>
    <col min="12" max="12" width="6.28125" style="0" customWidth="1"/>
    <col min="13" max="13" width="18.421875" style="0" customWidth="1"/>
  </cols>
  <sheetData>
    <row r="1" spans="1:11" ht="15">
      <c r="A1" s="102" t="s">
        <v>143</v>
      </c>
      <c r="B1" s="292">
        <f>'Salary and Wage'!B1</f>
        <v>0</v>
      </c>
      <c r="C1" s="289"/>
      <c r="D1" s="289"/>
      <c r="E1" s="311" t="s">
        <v>142</v>
      </c>
      <c r="F1" s="312"/>
      <c r="G1" s="312"/>
      <c r="H1" s="180"/>
      <c r="I1" s="315" t="s">
        <v>142</v>
      </c>
      <c r="J1" s="180"/>
      <c r="K1" s="308">
        <f>'Salary and Wage'!F1</f>
        <v>0</v>
      </c>
    </row>
    <row r="2" spans="1:6" ht="15" customHeight="1">
      <c r="A2" s="102"/>
      <c r="B2" s="2"/>
      <c r="C2" s="2"/>
      <c r="D2" s="2"/>
      <c r="E2" s="5"/>
      <c r="F2" s="2"/>
    </row>
    <row r="3" spans="1:16" s="8" customFormat="1" ht="31.5">
      <c r="A3" s="436" t="s">
        <v>146</v>
      </c>
      <c r="B3" s="436"/>
      <c r="C3" s="436"/>
      <c r="D3" s="436"/>
      <c r="E3" s="436"/>
      <c r="F3" s="436"/>
      <c r="G3" s="436"/>
      <c r="H3" s="436"/>
      <c r="I3" s="436"/>
      <c r="J3" s="436"/>
      <c r="K3" s="436"/>
      <c r="L3" s="436"/>
      <c r="M3" s="20"/>
      <c r="N3" s="20"/>
      <c r="O3" s="20"/>
      <c r="P3" s="20"/>
    </row>
    <row r="4" spans="1:16" s="23" customFormat="1" ht="18">
      <c r="A4" s="437" t="s">
        <v>145</v>
      </c>
      <c r="B4" s="437"/>
      <c r="C4" s="437"/>
      <c r="D4" s="437"/>
      <c r="E4" s="437"/>
      <c r="F4" s="437"/>
      <c r="G4" s="437"/>
      <c r="H4" s="437"/>
      <c r="I4" s="437"/>
      <c r="J4" s="437"/>
      <c r="K4" s="437"/>
      <c r="L4" s="437"/>
      <c r="M4" s="22"/>
      <c r="N4" s="22"/>
      <c r="O4" s="22"/>
      <c r="P4" s="22"/>
    </row>
    <row r="5" spans="1:16" s="23" customFormat="1" ht="18">
      <c r="A5" s="22"/>
      <c r="B5" s="437" t="s">
        <v>225</v>
      </c>
      <c r="C5" s="437"/>
      <c r="D5" s="437"/>
      <c r="E5" s="437"/>
      <c r="F5" s="437"/>
      <c r="G5" s="437"/>
      <c r="H5" s="437"/>
      <c r="I5" s="22"/>
      <c r="J5" s="22"/>
      <c r="K5" s="22"/>
      <c r="L5" s="22"/>
      <c r="M5" s="22"/>
      <c r="N5" s="22"/>
      <c r="O5" s="22"/>
      <c r="P5" s="22"/>
    </row>
    <row r="6" spans="1:16" s="23" customFormat="1" ht="18">
      <c r="A6" s="22"/>
      <c r="B6" s="22"/>
      <c r="C6" s="22"/>
      <c r="D6" s="22"/>
      <c r="E6" s="22"/>
      <c r="F6" s="22"/>
      <c r="G6" s="22"/>
      <c r="H6" s="22"/>
      <c r="I6" s="22"/>
      <c r="J6" s="22"/>
      <c r="K6" s="22"/>
      <c r="L6" s="22"/>
      <c r="M6" s="22"/>
      <c r="N6" s="22"/>
      <c r="O6" s="22"/>
      <c r="P6" s="22"/>
    </row>
    <row r="7" spans="1:16" s="23" customFormat="1" ht="18">
      <c r="A7" s="22"/>
      <c r="B7" s="22"/>
      <c r="C7" s="22"/>
      <c r="D7" s="22"/>
      <c r="E7" s="22"/>
      <c r="F7" s="22"/>
      <c r="G7" s="115" t="s">
        <v>55</v>
      </c>
      <c r="H7" s="22"/>
      <c r="I7" s="115" t="s">
        <v>58</v>
      </c>
      <c r="J7" s="22"/>
      <c r="K7" s="115" t="s">
        <v>155</v>
      </c>
      <c r="L7" s="22"/>
      <c r="M7" s="22"/>
      <c r="N7" s="22"/>
      <c r="O7" s="22"/>
      <c r="P7" s="22"/>
    </row>
    <row r="8" spans="1:16" s="23" customFormat="1" ht="19.5" customHeight="1">
      <c r="A8" s="65"/>
      <c r="B8" s="22"/>
      <c r="C8" s="22"/>
      <c r="D8" s="466" t="s">
        <v>81</v>
      </c>
      <c r="E8" s="471"/>
      <c r="F8" s="22"/>
      <c r="G8" s="468">
        <f>+'Forecasted Usage'!B14</f>
        <v>0</v>
      </c>
      <c r="H8" s="22"/>
      <c r="I8" s="468">
        <f>+'Forecasted Usage'!B15</f>
        <v>0</v>
      </c>
      <c r="J8" s="22"/>
      <c r="K8" s="468">
        <f>+'Forecasted Usage'!B16</f>
        <v>0</v>
      </c>
      <c r="L8" s="22"/>
      <c r="M8" s="22"/>
      <c r="N8" s="22"/>
      <c r="O8" s="22"/>
      <c r="P8" s="22"/>
    </row>
    <row r="9" spans="1:13" s="8" customFormat="1" ht="19.5" customHeight="1">
      <c r="A9" s="9"/>
      <c r="B9" s="17"/>
      <c r="C9" s="17"/>
      <c r="D9" s="243" t="s">
        <v>55</v>
      </c>
      <c r="E9" s="245" t="s">
        <v>58</v>
      </c>
      <c r="F9" s="64"/>
      <c r="G9" s="469"/>
      <c r="H9" s="64"/>
      <c r="I9" s="469"/>
      <c r="J9" s="64"/>
      <c r="K9" s="469"/>
      <c r="L9" s="62"/>
      <c r="M9" s="9"/>
    </row>
    <row r="10" spans="1:13" s="8" customFormat="1" ht="12.75">
      <c r="A10" s="9"/>
      <c r="B10" s="17"/>
      <c r="C10" s="17"/>
      <c r="D10" s="205"/>
      <c r="E10" s="185"/>
      <c r="F10" s="61"/>
      <c r="G10" s="17"/>
      <c r="H10" s="61"/>
      <c r="I10" s="17"/>
      <c r="J10" s="61"/>
      <c r="K10" s="17"/>
      <c r="L10" s="62"/>
      <c r="M10" s="9"/>
    </row>
    <row r="11" spans="1:13" s="8" customFormat="1" ht="13.5">
      <c r="A11" s="72" t="s">
        <v>144</v>
      </c>
      <c r="B11" s="17"/>
      <c r="C11" s="17"/>
      <c r="D11" s="265">
        <f>SUM('Expense Summary'!D$34)</f>
        <v>46.46137233748232</v>
      </c>
      <c r="E11" s="267">
        <f>SUM('Expense Summary'!E$34)</f>
        <v>54.854938312588395</v>
      </c>
      <c r="F11" s="71"/>
      <c r="G11" s="120">
        <f>SUM('Expense Summary'!I$34)</f>
        <v>0</v>
      </c>
      <c r="H11" s="117"/>
      <c r="I11" s="120">
        <f>SUM('Expense Summary'!K$34)</f>
        <v>0</v>
      </c>
      <c r="J11" s="117"/>
      <c r="K11" s="120">
        <f>SUM('Expense Summary'!M$34)</f>
        <v>0</v>
      </c>
      <c r="L11" s="63"/>
      <c r="M11" s="9"/>
    </row>
    <row r="12" spans="1:13" ht="12.75">
      <c r="A12" s="2"/>
      <c r="B12" s="2"/>
      <c r="C12" s="6"/>
      <c r="D12" s="277"/>
      <c r="E12" s="144"/>
      <c r="F12" s="46"/>
      <c r="G12" s="121"/>
      <c r="H12" s="122"/>
      <c r="I12" s="121"/>
      <c r="J12" s="122"/>
      <c r="K12" s="121"/>
      <c r="L12" s="2"/>
      <c r="M12" s="2"/>
    </row>
    <row r="13" spans="4:11" ht="12.75">
      <c r="D13" s="273"/>
      <c r="E13" s="278"/>
      <c r="G13" s="123"/>
      <c r="H13" s="124"/>
      <c r="I13" s="123"/>
      <c r="J13" s="124"/>
      <c r="K13" s="123"/>
    </row>
    <row r="14" spans="1:13" s="8" customFormat="1" ht="13.5">
      <c r="A14" s="72" t="s">
        <v>124</v>
      </c>
      <c r="B14" s="17"/>
      <c r="C14" s="17"/>
      <c r="D14" s="208"/>
      <c r="E14" s="279"/>
      <c r="F14" s="71"/>
      <c r="G14" s="125"/>
      <c r="H14" s="120"/>
      <c r="I14" s="125"/>
      <c r="J14" s="117"/>
      <c r="K14" s="125"/>
      <c r="L14" s="63"/>
      <c r="M14" s="9"/>
    </row>
    <row r="15" spans="1:11" ht="12.75">
      <c r="A15" s="128" t="s">
        <v>156</v>
      </c>
      <c r="D15" s="255">
        <f>ROUND(D11,0)</f>
        <v>46</v>
      </c>
      <c r="E15" s="258">
        <f>ROUND(E11,0)</f>
        <v>55</v>
      </c>
      <c r="G15" s="175">
        <f>ROUND(G11,0)</f>
        <v>0</v>
      </c>
      <c r="H15" s="130"/>
      <c r="I15" s="175">
        <f>ROUND(I11,0)</f>
        <v>0</v>
      </c>
      <c r="J15" s="131"/>
      <c r="K15" s="175">
        <f>ROUND(K11,0)</f>
        <v>0</v>
      </c>
    </row>
    <row r="16" spans="1:11" ht="12.75">
      <c r="A16" s="8" t="s">
        <v>138</v>
      </c>
      <c r="D16" s="255"/>
      <c r="E16" s="258"/>
      <c r="G16" s="126"/>
      <c r="H16" s="127"/>
      <c r="I16" s="126"/>
      <c r="J16" s="124"/>
      <c r="K16" s="126"/>
    </row>
    <row r="17" spans="1:11" ht="12.75">
      <c r="A17" s="8" t="s">
        <v>136</v>
      </c>
      <c r="D17" s="255">
        <f>D15-D18</f>
        <v>39</v>
      </c>
      <c r="E17" s="258">
        <f>E15-E18</f>
        <v>55</v>
      </c>
      <c r="G17" s="126">
        <f>G15-G18</f>
        <v>0</v>
      </c>
      <c r="H17" s="127"/>
      <c r="I17" s="126">
        <f>I15-I18</f>
        <v>0</v>
      </c>
      <c r="J17" s="124"/>
      <c r="K17" s="126">
        <f>K15-K18</f>
        <v>0</v>
      </c>
    </row>
    <row r="18" spans="1:11" ht="12.75">
      <c r="A18" s="8" t="s">
        <v>137</v>
      </c>
      <c r="D18" s="255">
        <f>ROUND('Expense Summary'!D$17/'Expense Summary'!D$32,0)</f>
        <v>7</v>
      </c>
      <c r="E18" s="258">
        <f>ROUND('Expense Summary'!E$17/'Expense Summary'!E$32,0)</f>
        <v>0</v>
      </c>
      <c r="G18" s="126">
        <f>IF(G15&gt;0,ROUND('Expense Summary'!I$17/'Expense Summary'!I$32,0),0)</f>
        <v>0</v>
      </c>
      <c r="H18" s="127"/>
      <c r="I18" s="126">
        <f>IF(I15&gt;0,ROUND('Expense Summary'!K$17/'Expense Summary'!K$32,0),0)</f>
        <v>0</v>
      </c>
      <c r="J18" s="124"/>
      <c r="K18" s="126">
        <f>IF(K15&gt;0,ROUND('Expense Summary'!M$17/'Expense Summary'!M$32,0),0)</f>
        <v>0</v>
      </c>
    </row>
    <row r="19" spans="1:11" ht="12.75">
      <c r="A19" s="8"/>
      <c r="D19" s="255"/>
      <c r="E19" s="258"/>
      <c r="G19" s="126"/>
      <c r="H19" s="127"/>
      <c r="I19" s="126"/>
      <c r="J19" s="124"/>
      <c r="K19" s="126"/>
    </row>
    <row r="20" spans="1:11" ht="12.75">
      <c r="A20" s="128" t="s">
        <v>157</v>
      </c>
      <c r="D20" s="255">
        <f>ROUND(D15*1.625,0)</f>
        <v>75</v>
      </c>
      <c r="E20" s="258">
        <f>ROUND(E15*1.625,0)</f>
        <v>89</v>
      </c>
      <c r="G20" s="175">
        <f>ROUND(G15*1.78,0)</f>
        <v>0</v>
      </c>
      <c r="H20" s="127"/>
      <c r="I20" s="175">
        <f>ROUND(I15*1.78,0)</f>
        <v>0</v>
      </c>
      <c r="J20" s="124"/>
      <c r="K20" s="175">
        <f>ROUND(K15*1.78,0)</f>
        <v>0</v>
      </c>
    </row>
    <row r="21" spans="1:11" ht="12.75">
      <c r="A21" s="18" t="s">
        <v>214</v>
      </c>
      <c r="D21" s="273"/>
      <c r="E21" s="278"/>
      <c r="G21" s="123"/>
      <c r="H21" s="127"/>
      <c r="I21" s="123"/>
      <c r="J21" s="124"/>
      <c r="K21" s="123"/>
    </row>
    <row r="22" spans="1:11" ht="12.75">
      <c r="A22" s="8" t="s">
        <v>138</v>
      </c>
      <c r="D22" s="255"/>
      <c r="E22" s="258"/>
      <c r="G22" s="126"/>
      <c r="H22" s="127"/>
      <c r="I22" s="126"/>
      <c r="J22" s="124"/>
      <c r="K22" s="126"/>
    </row>
    <row r="23" spans="1:11" ht="12.75">
      <c r="A23" s="8" t="s">
        <v>136</v>
      </c>
      <c r="D23" s="255">
        <f>D20-D24-D25</f>
        <v>39.25</v>
      </c>
      <c r="E23" s="258">
        <f>E20-E24-E25</f>
        <v>54.625</v>
      </c>
      <c r="G23" s="126">
        <f>G20-G24-G25</f>
        <v>0</v>
      </c>
      <c r="H23" s="127"/>
      <c r="I23" s="126">
        <f>I20-I24-I25</f>
        <v>0</v>
      </c>
      <c r="J23" s="124"/>
      <c r="K23" s="126">
        <f>K20-K24-K25</f>
        <v>0</v>
      </c>
    </row>
    <row r="24" spans="1:11" ht="12.75">
      <c r="A24" s="8" t="s">
        <v>137</v>
      </c>
      <c r="D24" s="255">
        <f>ROUND('Expense Summary'!D$17/'Expense Summary'!D$32,0)</f>
        <v>7</v>
      </c>
      <c r="E24" s="258">
        <f>ROUND('Expense Summary'!E$17/'Expense Summary'!E$32,0)</f>
        <v>0</v>
      </c>
      <c r="G24" s="126">
        <f>IF(G20&gt;0,ROUND('Expense Summary'!I$17/'Expense Summary'!I$32,0),0)</f>
        <v>0</v>
      </c>
      <c r="H24" s="127"/>
      <c r="I24" s="126">
        <f>IF(I20&gt;0,ROUND('Expense Summary'!K$17/'Expense Summary'!K$32,0),0)</f>
        <v>0</v>
      </c>
      <c r="J24" s="124"/>
      <c r="K24" s="126">
        <f>IF(K20&gt;0,ROUND('Expense Summary'!M$17/'Expense Summary'!M$32,0),0)</f>
        <v>0</v>
      </c>
    </row>
    <row r="25" spans="1:11" ht="12.75">
      <c r="A25" s="8" t="s">
        <v>149</v>
      </c>
      <c r="D25" s="255">
        <f>D$15*0.625</f>
        <v>28.75</v>
      </c>
      <c r="E25" s="258">
        <f>E$15*0.625</f>
        <v>34.375</v>
      </c>
      <c r="G25" s="126">
        <f>G$15*0.78</f>
        <v>0</v>
      </c>
      <c r="H25" s="127"/>
      <c r="I25" s="126">
        <f>I$15*0.78</f>
        <v>0</v>
      </c>
      <c r="J25" s="124"/>
      <c r="K25" s="126">
        <f>K$15*0.78</f>
        <v>0</v>
      </c>
    </row>
    <row r="26" spans="4:11" ht="12.75">
      <c r="D26" s="273"/>
      <c r="E26" s="278"/>
      <c r="G26" s="123"/>
      <c r="H26" s="127"/>
      <c r="I26" s="123"/>
      <c r="J26" s="124"/>
      <c r="K26" s="123"/>
    </row>
    <row r="27" spans="4:11" ht="12.75">
      <c r="D27" s="273"/>
      <c r="E27" s="278"/>
      <c r="G27" s="123"/>
      <c r="H27" s="127"/>
      <c r="I27" s="123"/>
      <c r="J27" s="124"/>
      <c r="K27" s="123"/>
    </row>
    <row r="28" spans="1:11" ht="12.75">
      <c r="A28" s="128" t="s">
        <v>158</v>
      </c>
      <c r="D28" s="265">
        <v>100</v>
      </c>
      <c r="E28" s="267">
        <v>0</v>
      </c>
      <c r="G28" s="176">
        <f>+G15*1.78</f>
        <v>0</v>
      </c>
      <c r="H28" s="127"/>
      <c r="I28" s="176">
        <f>+I15*1.78</f>
        <v>0</v>
      </c>
      <c r="J28" s="124"/>
      <c r="K28" s="176">
        <f>+K15*1.78</f>
        <v>0</v>
      </c>
    </row>
    <row r="29" spans="1:11" ht="12.75">
      <c r="A29" s="18"/>
      <c r="D29" s="265"/>
      <c r="E29" s="267"/>
      <c r="G29" s="120"/>
      <c r="H29" s="127"/>
      <c r="I29" s="120"/>
      <c r="J29" s="124"/>
      <c r="K29" s="120"/>
    </row>
    <row r="30" spans="1:11" ht="12.75">
      <c r="A30" s="8" t="s">
        <v>138</v>
      </c>
      <c r="D30" s="265"/>
      <c r="E30" s="267"/>
      <c r="G30" s="120"/>
      <c r="H30" s="127"/>
      <c r="I30" s="120"/>
      <c r="J30" s="124"/>
      <c r="K30" s="120"/>
    </row>
    <row r="31" spans="1:11" ht="12.75">
      <c r="A31" s="8" t="s">
        <v>136</v>
      </c>
      <c r="D31" s="255">
        <f>IF(D$28&gt;0,SUM(D17),0)</f>
        <v>39</v>
      </c>
      <c r="E31" s="258">
        <f>IF(E$28&gt;0,SUM(E17),0)</f>
        <v>0</v>
      </c>
      <c r="G31" s="126">
        <f>IF(G$28&gt;0,SUM(G17),0)</f>
        <v>0</v>
      </c>
      <c r="H31" s="127"/>
      <c r="I31" s="126">
        <f>IF(I$28&gt;0,SUM(I17),0)</f>
        <v>0</v>
      </c>
      <c r="J31" s="124"/>
      <c r="K31" s="126">
        <f>IF(K$28&gt;0,SUM(K17),0)</f>
        <v>0</v>
      </c>
    </row>
    <row r="32" spans="1:11" ht="12.75">
      <c r="A32" s="8" t="s">
        <v>137</v>
      </c>
      <c r="D32" s="255">
        <f>IF(D28&gt;0,ROUND('Expense Summary'!D$17/'Expense Summary'!D$32,0),0)</f>
        <v>7</v>
      </c>
      <c r="E32" s="258">
        <f>IF(E28&gt;0,ROUND('Expense Summary'!E$17/'Expense Summary'!E$32,0),0)</f>
        <v>0</v>
      </c>
      <c r="G32" s="126">
        <f>IF(G28&gt;0,ROUND('Expense Summary'!I$17/'Expense Summary'!I$32,0),0)</f>
        <v>0</v>
      </c>
      <c r="H32" s="127"/>
      <c r="I32" s="126">
        <f>IF(I28&gt;0,ROUND('Expense Summary'!K$17/'Expense Summary'!K$32,0),0)</f>
        <v>0</v>
      </c>
      <c r="J32" s="124"/>
      <c r="K32" s="126">
        <f>IF(K28&gt;0,ROUND('Expense Summary'!M$17/'Expense Summary'!M$32,0),0)</f>
        <v>0</v>
      </c>
    </row>
    <row r="33" spans="1:11" ht="12.75">
      <c r="A33" s="8" t="s">
        <v>139</v>
      </c>
      <c r="D33" s="255">
        <f>D28-D31-D32-D34</f>
        <v>25.25</v>
      </c>
      <c r="E33" s="258">
        <f>E28-E31-E32-E34</f>
        <v>0</v>
      </c>
      <c r="G33" s="126">
        <f>G28-G31-G32-G34</f>
        <v>0</v>
      </c>
      <c r="H33" s="127"/>
      <c r="I33" s="126">
        <f>I28-I31-I32-I34</f>
        <v>0</v>
      </c>
      <c r="J33" s="124"/>
      <c r="K33" s="126">
        <f>K28-K31-K32-K34</f>
        <v>0</v>
      </c>
    </row>
    <row r="34" spans="1:11" ht="12.75">
      <c r="A34" s="8" t="s">
        <v>149</v>
      </c>
      <c r="D34" s="255">
        <f>IF(D$28&gt;0,D$15*0.625,0)</f>
        <v>28.75</v>
      </c>
      <c r="E34" s="258">
        <f>IF(E$28&gt;0,E$15*0.625,0)</f>
        <v>0</v>
      </c>
      <c r="G34" s="126">
        <f>IF(G$28&gt;0,G$15*0.78,0)</f>
        <v>0</v>
      </c>
      <c r="H34" s="127"/>
      <c r="I34" s="126">
        <f>IF(I$28&gt;0,I$15*0.78,0)</f>
        <v>0</v>
      </c>
      <c r="J34" s="124"/>
      <c r="K34" s="126">
        <f>IF(K$28&gt;0,K$15*0.78,0)</f>
        <v>0</v>
      </c>
    </row>
    <row r="35" spans="4:11" ht="12.75">
      <c r="D35" s="280"/>
      <c r="E35" s="281"/>
      <c r="G35" s="123"/>
      <c r="H35" s="124"/>
      <c r="I35" s="123"/>
      <c r="J35" s="124"/>
      <c r="K35" s="123"/>
    </row>
    <row r="36" ht="12.75">
      <c r="G36" s="2"/>
    </row>
  </sheetData>
  <sheetProtection password="CFCA" sheet="1" objects="1" scenarios="1"/>
  <mergeCells count="7">
    <mergeCell ref="D8:E8"/>
    <mergeCell ref="G8:G9"/>
    <mergeCell ref="I8:I9"/>
    <mergeCell ref="K8:K9"/>
    <mergeCell ref="A3:L3"/>
    <mergeCell ref="A4:L4"/>
    <mergeCell ref="B5:H5"/>
  </mergeCells>
  <printOptions gridLines="1"/>
  <pageMargins left="0.5" right="0.5" top="1" bottom="1" header="0.5" footer="0.5"/>
  <pageSetup fitToHeight="1" fitToWidth="1" horizontalDpi="600" verticalDpi="600" orientation="landscape" scale="91"/>
  <headerFooter alignWithMargins="0">
    <oddHeader>&amp;R&amp;"Arial,Bold"
</oddHeader>
    <oddFooter>&amp;LPrinted:&amp;D&amp;C&amp;F
&amp;A&amp;R3 Services FY 2017
Service Center Rate Cal Worksheet
Revised 6/28/16</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44"/>
  <sheetViews>
    <sheetView zoomScalePageLayoutView="0" workbookViewId="0" topLeftCell="A1">
      <selection activeCell="L7" sqref="L7"/>
    </sheetView>
  </sheetViews>
  <sheetFormatPr defaultColWidth="8.8515625" defaultRowHeight="12.75"/>
  <cols>
    <col min="1" max="1" width="38.8515625" style="0" customWidth="1"/>
    <col min="2" max="2" width="11.140625" style="0" customWidth="1"/>
    <col min="3" max="3" width="11.7109375" style="0" customWidth="1"/>
    <col min="4" max="6" width="13.140625" style="0" hidden="1" customWidth="1"/>
    <col min="7" max="7" width="10.28125" style="0" hidden="1" customWidth="1"/>
    <col min="8" max="8" width="1.28515625" style="0" customWidth="1"/>
    <col min="9" max="9" width="13.28125" style="0" customWidth="1"/>
    <col min="10" max="10" width="6.28125" style="0" customWidth="1"/>
    <col min="11" max="11" width="13.28125" style="0" customWidth="1"/>
    <col min="12" max="12" width="6.28125" style="0" customWidth="1"/>
    <col min="13" max="13" width="13.28125" style="0" customWidth="1"/>
    <col min="14" max="14" width="6.28125" style="0" customWidth="1"/>
    <col min="15" max="15" width="13.140625" style="0" bestFit="1" customWidth="1"/>
    <col min="16" max="17" width="6.28125" style="0" customWidth="1"/>
    <col min="18" max="18" width="18.421875" style="0" customWidth="1"/>
  </cols>
  <sheetData>
    <row r="1" spans="1:13" ht="15">
      <c r="A1" s="102" t="s">
        <v>143</v>
      </c>
      <c r="B1" s="314">
        <f>'Salary and Wage'!B1</f>
        <v>0</v>
      </c>
      <c r="C1" s="294"/>
      <c r="D1" s="294"/>
      <c r="K1" s="315" t="s">
        <v>142</v>
      </c>
      <c r="L1" s="316"/>
      <c r="M1" s="308">
        <f>'Salary and Wage'!F1</f>
        <v>0</v>
      </c>
    </row>
    <row r="3" spans="1:21" s="8" customFormat="1" ht="31.5">
      <c r="A3" s="436" t="s">
        <v>146</v>
      </c>
      <c r="B3" s="436"/>
      <c r="C3" s="436"/>
      <c r="D3" s="436"/>
      <c r="E3" s="436"/>
      <c r="F3" s="436"/>
      <c r="G3" s="436"/>
      <c r="H3" s="436"/>
      <c r="I3" s="436"/>
      <c r="J3" s="436"/>
      <c r="K3" s="436"/>
      <c r="L3" s="436"/>
      <c r="M3" s="436"/>
      <c r="N3" s="436"/>
      <c r="O3" s="436"/>
      <c r="P3" s="20"/>
      <c r="Q3" s="20"/>
      <c r="R3" s="20"/>
      <c r="S3" s="20"/>
      <c r="T3" s="20"/>
      <c r="U3" s="20"/>
    </row>
    <row r="4" spans="1:21" s="23" customFormat="1" ht="18">
      <c r="A4" s="437" t="s">
        <v>125</v>
      </c>
      <c r="B4" s="437"/>
      <c r="C4" s="437"/>
      <c r="D4" s="437"/>
      <c r="E4" s="437"/>
      <c r="F4" s="437"/>
      <c r="G4" s="437"/>
      <c r="H4" s="437"/>
      <c r="I4" s="437"/>
      <c r="J4" s="437"/>
      <c r="K4" s="437"/>
      <c r="L4" s="437"/>
      <c r="M4" s="437"/>
      <c r="N4" s="437"/>
      <c r="O4" s="437"/>
      <c r="P4" s="22"/>
      <c r="Q4" s="22"/>
      <c r="R4" s="22"/>
      <c r="S4" s="22"/>
      <c r="T4" s="22"/>
      <c r="U4" s="22"/>
    </row>
    <row r="5" spans="1:21" s="23" customFormat="1" ht="18">
      <c r="A5" s="22"/>
      <c r="B5" s="22"/>
      <c r="C5" s="437" t="s">
        <v>225</v>
      </c>
      <c r="D5" s="437"/>
      <c r="E5" s="437"/>
      <c r="F5" s="437"/>
      <c r="G5" s="437"/>
      <c r="H5" s="437"/>
      <c r="I5" s="437"/>
      <c r="J5" s="22"/>
      <c r="K5" s="22"/>
      <c r="L5" s="22"/>
      <c r="M5" s="22"/>
      <c r="N5" s="22"/>
      <c r="O5" s="22"/>
      <c r="P5" s="22"/>
      <c r="Q5" s="22"/>
      <c r="R5" s="22"/>
      <c r="S5" s="22"/>
      <c r="T5" s="22"/>
      <c r="U5" s="22"/>
    </row>
    <row r="6" spans="1:21" s="23" customFormat="1" ht="18">
      <c r="A6" s="22"/>
      <c r="B6" s="22"/>
      <c r="C6" s="22"/>
      <c r="D6" s="22"/>
      <c r="E6" s="22"/>
      <c r="F6" s="22"/>
      <c r="G6" s="22"/>
      <c r="H6" s="22"/>
      <c r="I6" s="22"/>
      <c r="J6" s="22"/>
      <c r="K6" s="22"/>
      <c r="L6" s="22"/>
      <c r="M6" s="22"/>
      <c r="N6" s="22"/>
      <c r="O6" s="22"/>
      <c r="P6" s="22"/>
      <c r="Q6" s="22"/>
      <c r="R6" s="22"/>
      <c r="S6" s="22"/>
      <c r="T6" s="22"/>
      <c r="U6" s="22"/>
    </row>
    <row r="7" spans="1:21" s="23" customFormat="1" ht="18">
      <c r="A7" s="22"/>
      <c r="B7" s="22"/>
      <c r="C7" s="22"/>
      <c r="D7" s="22"/>
      <c r="E7" s="22"/>
      <c r="F7" s="22"/>
      <c r="G7" s="22"/>
      <c r="H7" s="22"/>
      <c r="I7" s="115" t="s">
        <v>55</v>
      </c>
      <c r="J7" s="22"/>
      <c r="K7" s="115" t="s">
        <v>58</v>
      </c>
      <c r="L7" s="22"/>
      <c r="M7" s="115" t="s">
        <v>155</v>
      </c>
      <c r="N7" s="22"/>
      <c r="O7" s="22"/>
      <c r="P7" s="22"/>
      <c r="Q7" s="22"/>
      <c r="R7" s="22"/>
      <c r="S7" s="22"/>
      <c r="T7" s="22"/>
      <c r="U7" s="22"/>
    </row>
    <row r="8" spans="2:21" s="23" customFormat="1" ht="19.5" customHeight="1">
      <c r="B8" s="22"/>
      <c r="C8" s="22"/>
      <c r="D8" s="466" t="s">
        <v>81</v>
      </c>
      <c r="E8" s="467"/>
      <c r="F8" s="467"/>
      <c r="G8" s="79"/>
      <c r="H8" s="22"/>
      <c r="I8" s="468">
        <f>'Forecasted Usage'!B14</f>
        <v>0</v>
      </c>
      <c r="J8" s="22"/>
      <c r="K8" s="472">
        <f>'Forecasted Usage'!B15</f>
        <v>0</v>
      </c>
      <c r="L8" s="210"/>
      <c r="M8" s="472">
        <f>'Forecasted Usage'!B16</f>
        <v>0</v>
      </c>
      <c r="N8" s="22"/>
      <c r="O8" s="22"/>
      <c r="P8" s="22"/>
      <c r="Q8" s="22"/>
      <c r="R8" s="22"/>
      <c r="S8" s="22"/>
      <c r="T8" s="22"/>
      <c r="U8" s="22"/>
    </row>
    <row r="9" spans="1:18" s="8" customFormat="1" ht="19.5" customHeight="1">
      <c r="A9" s="9"/>
      <c r="B9" s="17"/>
      <c r="C9" s="17"/>
      <c r="D9" s="243" t="s">
        <v>55</v>
      </c>
      <c r="E9" s="244" t="s">
        <v>58</v>
      </c>
      <c r="F9" s="244" t="s">
        <v>0</v>
      </c>
      <c r="G9" s="80"/>
      <c r="H9" s="64"/>
      <c r="I9" s="469"/>
      <c r="J9" s="64"/>
      <c r="K9" s="473"/>
      <c r="L9" s="211"/>
      <c r="M9" s="473"/>
      <c r="N9" s="64"/>
      <c r="O9" s="115" t="s">
        <v>0</v>
      </c>
      <c r="P9" s="61"/>
      <c r="Q9" s="62"/>
      <c r="R9" s="9"/>
    </row>
    <row r="10" spans="1:18" s="8" customFormat="1" ht="13.5">
      <c r="A10" s="65" t="s">
        <v>126</v>
      </c>
      <c r="B10" s="17"/>
      <c r="C10" s="17"/>
      <c r="D10" s="205"/>
      <c r="E10" s="17"/>
      <c r="F10" s="17"/>
      <c r="G10" s="81"/>
      <c r="H10" s="61"/>
      <c r="I10" s="17"/>
      <c r="J10" s="61"/>
      <c r="K10" s="17"/>
      <c r="L10" s="61"/>
      <c r="M10" s="17"/>
      <c r="N10" s="61"/>
      <c r="O10" s="17"/>
      <c r="P10" s="61"/>
      <c r="Q10" s="62"/>
      <c r="R10" s="9"/>
    </row>
    <row r="11" spans="1:18" s="18" customFormat="1" ht="12.75">
      <c r="A11" s="9" t="s">
        <v>193</v>
      </c>
      <c r="B11" s="54"/>
      <c r="C11" s="54"/>
      <c r="D11" s="265">
        <f>SUM('Proposed Rate(s)'!D$15)</f>
        <v>46</v>
      </c>
      <c r="E11" s="120">
        <f>SUM('Proposed Rate(s)'!E$15)</f>
        <v>55</v>
      </c>
      <c r="F11" s="120"/>
      <c r="G11" s="74"/>
      <c r="H11" s="56"/>
      <c r="I11" s="120">
        <f>SUM('Proposed Rate(s)'!G$15)</f>
        <v>0</v>
      </c>
      <c r="J11" s="136"/>
      <c r="K11" s="120">
        <f>SUM('Proposed Rate(s)'!I$15)</f>
        <v>0</v>
      </c>
      <c r="L11" s="136"/>
      <c r="M11" s="120">
        <f>SUM('Proposed Rate(s)'!K$15)</f>
        <v>0</v>
      </c>
      <c r="N11" s="56"/>
      <c r="O11" s="77"/>
      <c r="P11" s="56"/>
      <c r="Q11" s="63"/>
      <c r="R11" s="59"/>
    </row>
    <row r="12" spans="1:18" s="18" customFormat="1" ht="12.75">
      <c r="A12" s="9" t="s">
        <v>194</v>
      </c>
      <c r="B12" s="54"/>
      <c r="C12" s="54"/>
      <c r="D12" s="265">
        <f>SUM('Proposed Rate(s)'!D$20)</f>
        <v>75</v>
      </c>
      <c r="E12" s="120">
        <f>SUM('Proposed Rate(s)'!E$20)</f>
        <v>89</v>
      </c>
      <c r="F12" s="120"/>
      <c r="G12" s="74"/>
      <c r="H12" s="56"/>
      <c r="I12" s="120">
        <f>SUM('Proposed Rate(s)'!G$20)</f>
        <v>0</v>
      </c>
      <c r="J12" s="136"/>
      <c r="K12" s="120">
        <f>SUM('Proposed Rate(s)'!I$20)</f>
        <v>0</v>
      </c>
      <c r="L12" s="136"/>
      <c r="M12" s="120">
        <f>SUM('Proposed Rate(s)'!K$20)</f>
        <v>0</v>
      </c>
      <c r="N12" s="56"/>
      <c r="O12" s="77"/>
      <c r="P12" s="56"/>
      <c r="Q12" s="63"/>
      <c r="R12" s="59"/>
    </row>
    <row r="13" spans="1:18" s="18" customFormat="1" ht="12.75">
      <c r="A13" s="9" t="s">
        <v>212</v>
      </c>
      <c r="B13" s="54"/>
      <c r="C13" s="54"/>
      <c r="D13" s="265">
        <f>SUM('Proposed Rate(s)'!D$28)</f>
        <v>100</v>
      </c>
      <c r="E13" s="120">
        <f>SUM('Proposed Rate(s)'!E$28)</f>
        <v>0</v>
      </c>
      <c r="F13" s="120"/>
      <c r="G13" s="74"/>
      <c r="H13" s="56"/>
      <c r="I13" s="120">
        <f>SUM('Proposed Rate(s)'!G$28)</f>
        <v>0</v>
      </c>
      <c r="J13" s="136"/>
      <c r="K13" s="120">
        <f>SUM('Proposed Rate(s)'!I$28)</f>
        <v>0</v>
      </c>
      <c r="L13" s="136"/>
      <c r="M13" s="120">
        <f>SUM('Proposed Rate(s)'!K$28)</f>
        <v>0</v>
      </c>
      <c r="N13" s="56"/>
      <c r="O13" s="77"/>
      <c r="P13" s="56"/>
      <c r="Q13" s="63"/>
      <c r="R13" s="59"/>
    </row>
    <row r="14" spans="1:18" s="8" customFormat="1" ht="12.75">
      <c r="A14" s="9"/>
      <c r="B14" s="17"/>
      <c r="C14" s="17"/>
      <c r="D14" s="208"/>
      <c r="E14" s="125"/>
      <c r="F14" s="125"/>
      <c r="G14" s="82"/>
      <c r="H14" s="71"/>
      <c r="I14" s="70"/>
      <c r="J14" s="71"/>
      <c r="K14" s="70"/>
      <c r="L14" s="71"/>
      <c r="M14" s="70"/>
      <c r="N14" s="71"/>
      <c r="O14" s="100"/>
      <c r="P14" s="71"/>
      <c r="Q14" s="63"/>
      <c r="R14" s="9"/>
    </row>
    <row r="15" spans="1:18" s="8" customFormat="1" ht="13.5">
      <c r="A15" s="72" t="s">
        <v>84</v>
      </c>
      <c r="B15" s="17"/>
      <c r="C15" s="17"/>
      <c r="D15" s="265"/>
      <c r="E15" s="120"/>
      <c r="F15" s="120"/>
      <c r="G15" s="74"/>
      <c r="H15" s="56"/>
      <c r="I15" s="55"/>
      <c r="J15" s="56"/>
      <c r="K15" s="55"/>
      <c r="L15" s="56"/>
      <c r="M15" s="55"/>
      <c r="N15" s="56"/>
      <c r="O15" s="77"/>
      <c r="P15" s="71"/>
      <c r="Q15" s="63"/>
      <c r="R15" s="9"/>
    </row>
    <row r="16" spans="1:18" s="8" customFormat="1" ht="12.75">
      <c r="A16" s="9" t="s">
        <v>131</v>
      </c>
      <c r="B16" s="17"/>
      <c r="C16" s="17"/>
      <c r="D16" s="265">
        <f>SUM('Forecasted Usage'!E12:H12)</f>
        <v>1300</v>
      </c>
      <c r="E16" s="120">
        <f>SUM('Forecasted Usage'!E13:H13)</f>
        <v>265</v>
      </c>
      <c r="F16" s="125"/>
      <c r="G16" s="82"/>
      <c r="H16" s="71"/>
      <c r="I16" s="120">
        <f>SUM('Forecasted Usage'!E14:H14)</f>
        <v>0</v>
      </c>
      <c r="J16" s="117"/>
      <c r="K16" s="120">
        <f>SUM('Forecasted Usage'!E15:H15)</f>
        <v>0</v>
      </c>
      <c r="L16" s="117"/>
      <c r="M16" s="120">
        <f>SUM('Forecasted Usage'!E16:H16)</f>
        <v>0</v>
      </c>
      <c r="N16" s="71"/>
      <c r="O16" s="100"/>
      <c r="P16" s="71"/>
      <c r="Q16" s="63"/>
      <c r="R16" s="9"/>
    </row>
    <row r="17" spans="1:18" s="8" customFormat="1" ht="12.75">
      <c r="A17" s="9" t="s">
        <v>130</v>
      </c>
      <c r="B17" s="17"/>
      <c r="C17" s="17"/>
      <c r="D17" s="265">
        <f>SUM('Forecasted Usage'!I12:M12)</f>
        <v>195</v>
      </c>
      <c r="E17" s="120">
        <f>SUM('Forecasted Usage'!I13:M13)</f>
        <v>35</v>
      </c>
      <c r="F17" s="120"/>
      <c r="G17" s="74"/>
      <c r="H17" s="56"/>
      <c r="I17" s="120">
        <f>SUM('Forecasted Usage'!I14:M14)</f>
        <v>0</v>
      </c>
      <c r="J17" s="56"/>
      <c r="K17" s="120">
        <f>SUM('Forecasted Usage'!I15:M15)</f>
        <v>0</v>
      </c>
      <c r="L17" s="56"/>
      <c r="M17" s="120">
        <f>SUM('Forecasted Usage'!I16:M16)</f>
        <v>0</v>
      </c>
      <c r="N17" s="56"/>
      <c r="O17" s="77"/>
      <c r="P17" s="71"/>
      <c r="Q17" s="63"/>
      <c r="R17" s="9"/>
    </row>
    <row r="18" spans="1:18" s="8" customFormat="1" ht="12.75">
      <c r="A18" s="9" t="s">
        <v>213</v>
      </c>
      <c r="B18" s="17"/>
      <c r="C18" s="17"/>
      <c r="D18" s="265">
        <f>SUM('Forecasted Usage'!N12)</f>
        <v>5</v>
      </c>
      <c r="E18" s="120">
        <f>SUM('Forecasted Usage'!N13)</f>
        <v>0</v>
      </c>
      <c r="F18" s="125"/>
      <c r="G18" s="82"/>
      <c r="H18" s="71"/>
      <c r="I18" s="120">
        <f>SUM('Forecasted Usage'!N14)</f>
        <v>0</v>
      </c>
      <c r="J18" s="71"/>
      <c r="K18" s="120">
        <f>SUM('Forecasted Usage'!N15)</f>
        <v>0</v>
      </c>
      <c r="L18" s="71"/>
      <c r="M18" s="120">
        <f>SUM('Forecasted Usage'!N16)</f>
        <v>0</v>
      </c>
      <c r="N18" s="71"/>
      <c r="O18" s="100"/>
      <c r="P18" s="71"/>
      <c r="Q18" s="63"/>
      <c r="R18" s="9"/>
    </row>
    <row r="19" spans="1:18" s="8" customFormat="1" ht="12.75">
      <c r="A19" s="9"/>
      <c r="B19" s="17"/>
      <c r="C19" s="17"/>
      <c r="D19" s="265"/>
      <c r="E19" s="120"/>
      <c r="F19" s="125"/>
      <c r="G19" s="82"/>
      <c r="H19" s="71"/>
      <c r="I19" s="55"/>
      <c r="J19" s="71"/>
      <c r="K19" s="55"/>
      <c r="L19" s="71"/>
      <c r="M19" s="55"/>
      <c r="N19" s="71"/>
      <c r="O19" s="100"/>
      <c r="P19" s="71"/>
      <c r="Q19" s="63"/>
      <c r="R19" s="9"/>
    </row>
    <row r="20" spans="1:18" s="8" customFormat="1" ht="12.75">
      <c r="A20" s="9" t="s">
        <v>129</v>
      </c>
      <c r="B20" s="17"/>
      <c r="C20" s="17"/>
      <c r="D20" s="271">
        <f>SUM(D14:D19)</f>
        <v>1500</v>
      </c>
      <c r="E20" s="129">
        <f>SUM(E14:E19)</f>
        <v>300</v>
      </c>
      <c r="F20" s="120"/>
      <c r="G20" s="82"/>
      <c r="H20" s="71"/>
      <c r="I20" s="129">
        <f>SUM(I14:I19)</f>
        <v>0</v>
      </c>
      <c r="J20" s="117"/>
      <c r="K20" s="129">
        <f>SUM(K14:K19)</f>
        <v>0</v>
      </c>
      <c r="L20" s="117"/>
      <c r="M20" s="129">
        <f>SUM(M14:M19)</f>
        <v>0</v>
      </c>
      <c r="N20" s="71"/>
      <c r="O20" s="100"/>
      <c r="P20" s="71"/>
      <c r="Q20" s="63"/>
      <c r="R20" s="9"/>
    </row>
    <row r="21" spans="1:18" s="8" customFormat="1" ht="12.75">
      <c r="A21" s="9"/>
      <c r="B21" s="17"/>
      <c r="C21" s="17"/>
      <c r="D21" s="272"/>
      <c r="E21" s="120"/>
      <c r="F21" s="120"/>
      <c r="G21" s="74"/>
      <c r="H21" s="67"/>
      <c r="I21" s="55"/>
      <c r="J21" s="67"/>
      <c r="K21" s="55"/>
      <c r="L21" s="71"/>
      <c r="M21" s="55"/>
      <c r="N21" s="71"/>
      <c r="O21" s="100"/>
      <c r="P21" s="71"/>
      <c r="Q21" s="63"/>
      <c r="R21" s="9"/>
    </row>
    <row r="22" spans="1:18" s="8" customFormat="1" ht="13.5">
      <c r="A22" s="72" t="s">
        <v>127</v>
      </c>
      <c r="B22" s="17"/>
      <c r="C22" s="17"/>
      <c r="D22" s="272"/>
      <c r="E22" s="120"/>
      <c r="F22" s="120"/>
      <c r="G22" s="74"/>
      <c r="H22" s="67"/>
      <c r="I22" s="55"/>
      <c r="J22" s="67"/>
      <c r="K22" s="55"/>
      <c r="L22" s="56"/>
      <c r="M22" s="55"/>
      <c r="N22" s="56"/>
      <c r="O22" s="77"/>
      <c r="P22" s="71"/>
      <c r="Q22" s="63"/>
      <c r="R22" s="9"/>
    </row>
    <row r="23" spans="1:18" s="8" customFormat="1" ht="12.75">
      <c r="A23" s="9" t="s">
        <v>122</v>
      </c>
      <c r="B23" s="17"/>
      <c r="C23" s="17"/>
      <c r="D23" s="265">
        <f aca="true" t="shared" si="0" ref="D23:E25">D11*D16</f>
        <v>59800</v>
      </c>
      <c r="E23" s="120">
        <f t="shared" si="0"/>
        <v>14575</v>
      </c>
      <c r="F23" s="120"/>
      <c r="G23" s="74"/>
      <c r="H23" s="67"/>
      <c r="I23" s="120">
        <f>I11*I16</f>
        <v>0</v>
      </c>
      <c r="J23" s="139"/>
      <c r="K23" s="120">
        <f>K11*K16</f>
        <v>0</v>
      </c>
      <c r="L23" s="136"/>
      <c r="M23" s="120">
        <f>M11*M16</f>
        <v>0</v>
      </c>
      <c r="N23" s="56"/>
      <c r="O23" s="77"/>
      <c r="P23" s="71"/>
      <c r="Q23" s="63"/>
      <c r="R23" s="9"/>
    </row>
    <row r="24" spans="1:18" s="8" customFormat="1" ht="12.75">
      <c r="A24" s="9" t="s">
        <v>123</v>
      </c>
      <c r="B24" s="17"/>
      <c r="C24" s="17"/>
      <c r="D24" s="265">
        <f t="shared" si="0"/>
        <v>14625</v>
      </c>
      <c r="E24" s="120">
        <f t="shared" si="0"/>
        <v>3115</v>
      </c>
      <c r="F24" s="120"/>
      <c r="G24" s="74"/>
      <c r="H24" s="67"/>
      <c r="I24" s="120">
        <f>I12*I17</f>
        <v>0</v>
      </c>
      <c r="J24" s="139"/>
      <c r="K24" s="120">
        <f>K12*K17</f>
        <v>0</v>
      </c>
      <c r="L24" s="136"/>
      <c r="M24" s="120">
        <f>M12*M17</f>
        <v>0</v>
      </c>
      <c r="N24" s="56"/>
      <c r="O24" s="77"/>
      <c r="P24" s="71"/>
      <c r="Q24" s="63"/>
      <c r="R24" s="9"/>
    </row>
    <row r="25" spans="1:18" s="8" customFormat="1" ht="12.75">
      <c r="A25" s="9" t="s">
        <v>208</v>
      </c>
      <c r="B25" s="17"/>
      <c r="C25" s="17"/>
      <c r="D25" s="265">
        <f t="shared" si="0"/>
        <v>500</v>
      </c>
      <c r="E25" s="120">
        <f t="shared" si="0"/>
        <v>0</v>
      </c>
      <c r="F25" s="136"/>
      <c r="G25" s="74"/>
      <c r="H25" s="67"/>
      <c r="I25" s="120">
        <f>I13*I18</f>
        <v>0</v>
      </c>
      <c r="J25" s="139"/>
      <c r="K25" s="120">
        <f>K13*K18</f>
        <v>0</v>
      </c>
      <c r="L25" s="117"/>
      <c r="M25" s="120">
        <f>M13*M18</f>
        <v>0</v>
      </c>
      <c r="N25" s="71"/>
      <c r="O25" s="101"/>
      <c r="P25" s="71"/>
      <c r="Q25" s="63"/>
      <c r="R25" s="9"/>
    </row>
    <row r="26" spans="1:18" s="8" customFormat="1" ht="12.75">
      <c r="A26" s="9"/>
      <c r="B26" s="17"/>
      <c r="C26" s="17"/>
      <c r="D26" s="208"/>
      <c r="E26" s="125"/>
      <c r="F26" s="125"/>
      <c r="G26" s="82"/>
      <c r="H26" s="71"/>
      <c r="I26" s="70"/>
      <c r="J26" s="71"/>
      <c r="K26" s="70"/>
      <c r="L26" s="71"/>
      <c r="M26" s="70"/>
      <c r="N26" s="71"/>
      <c r="O26" s="100"/>
      <c r="P26" s="71"/>
      <c r="Q26" s="63"/>
      <c r="R26" s="9"/>
    </row>
    <row r="27" spans="1:18" s="8" customFormat="1" ht="12.75">
      <c r="A27" s="9" t="s">
        <v>128</v>
      </c>
      <c r="B27" s="17"/>
      <c r="C27" s="17"/>
      <c r="D27" s="271">
        <f>SUM(D23:D26)</f>
        <v>74925</v>
      </c>
      <c r="E27" s="129">
        <f>SUM(E23:E26)</f>
        <v>17690</v>
      </c>
      <c r="F27" s="129">
        <f>SUM(D27:E27)</f>
        <v>92615</v>
      </c>
      <c r="G27" s="74"/>
      <c r="H27" s="56"/>
      <c r="I27" s="129">
        <f>SUM(I23:I26)</f>
        <v>0</v>
      </c>
      <c r="J27" s="136"/>
      <c r="K27" s="129">
        <f>SUM(K23:K26)</f>
        <v>0</v>
      </c>
      <c r="L27" s="136"/>
      <c r="M27" s="129">
        <f>SUM(M23:M26)</f>
        <v>0</v>
      </c>
      <c r="N27" s="136"/>
      <c r="O27" s="143">
        <f>SUM(I27:M27)</f>
        <v>0</v>
      </c>
      <c r="P27" s="71"/>
      <c r="Q27" s="63"/>
      <c r="R27" s="9"/>
    </row>
    <row r="28" spans="1:18" s="8" customFormat="1" ht="12.75">
      <c r="A28" s="9"/>
      <c r="B28" s="17"/>
      <c r="C28" s="17"/>
      <c r="D28" s="265"/>
      <c r="E28" s="120"/>
      <c r="F28" s="120"/>
      <c r="G28" s="82"/>
      <c r="H28" s="71"/>
      <c r="I28" s="55"/>
      <c r="J28" s="71"/>
      <c r="K28" s="55"/>
      <c r="L28" s="71"/>
      <c r="M28" s="55"/>
      <c r="N28" s="71"/>
      <c r="O28" s="70"/>
      <c r="P28" s="71"/>
      <c r="Q28" s="63"/>
      <c r="R28" s="9"/>
    </row>
    <row r="29" spans="1:18" s="8" customFormat="1" ht="13.5">
      <c r="A29" s="72" t="s">
        <v>132</v>
      </c>
      <c r="B29" s="17"/>
      <c r="C29" s="17"/>
      <c r="D29" s="265"/>
      <c r="E29" s="120"/>
      <c r="F29" s="120"/>
      <c r="G29" s="82"/>
      <c r="H29" s="71"/>
      <c r="I29" s="55"/>
      <c r="J29" s="71"/>
      <c r="K29" s="55"/>
      <c r="L29" s="71"/>
      <c r="M29" s="55"/>
      <c r="N29" s="71"/>
      <c r="O29" s="70"/>
      <c r="P29" s="71"/>
      <c r="Q29" s="63"/>
      <c r="R29" s="9"/>
    </row>
    <row r="30" spans="1:18" s="8" customFormat="1" ht="12.75">
      <c r="A30" s="9" t="s">
        <v>133</v>
      </c>
      <c r="B30" s="17"/>
      <c r="C30" s="17"/>
      <c r="D30" s="265">
        <f>(D$16*'Proposed Rate(s)'!D$17)+('Revenue Summary'!D$17*'Proposed Rate(s)'!D$23)+(D$18*'Proposed Rate(s)'!D$31)</f>
        <v>58548.75</v>
      </c>
      <c r="E30" s="120">
        <f>(E$16*'Proposed Rate(s)'!E$17)+('Revenue Summary'!E$17*'Proposed Rate(s)'!E$23)+(E$18*'Proposed Rate(s)'!E$31)</f>
        <v>16486.875</v>
      </c>
      <c r="F30" s="120">
        <f>SUM(D30:E30)</f>
        <v>75035.625</v>
      </c>
      <c r="G30" s="82"/>
      <c r="H30" s="71"/>
      <c r="I30" s="120">
        <f>(I$16*'Proposed Rate(s)'!G$17)+('Revenue Summary'!I$17*'Proposed Rate(s)'!G$23)+(I$18*'Proposed Rate(s)'!G$31)</f>
        <v>0</v>
      </c>
      <c r="J30" s="117"/>
      <c r="K30" s="120">
        <f>(K$16*'Proposed Rate(s)'!I$17)+('Revenue Summary'!K$17*'Proposed Rate(s)'!I$23)+(K$18*'Proposed Rate(s)'!I$31)</f>
        <v>0</v>
      </c>
      <c r="L30" s="117"/>
      <c r="M30" s="120">
        <f>(M$16*'Proposed Rate(s)'!K$17)+('Revenue Summary'!M$17*'Proposed Rate(s)'!K$23)+(M$18*'Proposed Rate(s)'!K$31)</f>
        <v>0</v>
      </c>
      <c r="N30" s="117"/>
      <c r="O30" s="125">
        <f>SUM(I30:M30)</f>
        <v>0</v>
      </c>
      <c r="P30" s="71"/>
      <c r="Q30" s="63"/>
      <c r="R30" s="9"/>
    </row>
    <row r="31" spans="1:18" s="8" customFormat="1" ht="12.75">
      <c r="A31" s="9" t="s">
        <v>134</v>
      </c>
      <c r="B31" s="17"/>
      <c r="C31" s="17"/>
      <c r="D31" s="265">
        <f>(D$16*'Proposed Rate(s)'!D$18)+('Revenue Summary'!D$17*'Proposed Rate(s)'!D$24)+(D$18*'Proposed Rate(s)'!D$32)</f>
        <v>10500</v>
      </c>
      <c r="E31" s="120">
        <f>(E$16*'Proposed Rate(s)'!E$18)+('Revenue Summary'!E$17*'Proposed Rate(s)'!E$24)+(E$18*'Proposed Rate(s)'!E$32)</f>
        <v>0</v>
      </c>
      <c r="F31" s="120">
        <f>SUM(D31:E31)</f>
        <v>10500</v>
      </c>
      <c r="G31" s="82"/>
      <c r="H31" s="71"/>
      <c r="I31" s="120">
        <f>(I$16*'Proposed Rate(s)'!G$18)+('Revenue Summary'!I$17*'Proposed Rate(s)'!G$24)+(I$18*'Proposed Rate(s)'!G$32)</f>
        <v>0</v>
      </c>
      <c r="J31" s="117"/>
      <c r="K31" s="120">
        <f>(K$16*'Proposed Rate(s)'!I$18)+('Revenue Summary'!K$17*'Proposed Rate(s)'!I$24)+(K$18*'Proposed Rate(s)'!I$32)</f>
        <v>0</v>
      </c>
      <c r="L31" s="117"/>
      <c r="M31" s="120">
        <f>(M$16*'Proposed Rate(s)'!K$18)+('Revenue Summary'!M$17*'Proposed Rate(s)'!K$24)+(M$18*'Proposed Rate(s)'!K$32)</f>
        <v>0</v>
      </c>
      <c r="N31" s="117"/>
      <c r="O31" s="125">
        <f aca="true" t="shared" si="1" ref="O31:O36">SUM(I31:M31)</f>
        <v>0</v>
      </c>
      <c r="P31" s="71"/>
      <c r="Q31" s="63"/>
      <c r="R31" s="9"/>
    </row>
    <row r="32" spans="1:18" s="8" customFormat="1" ht="12.75">
      <c r="A32" s="9" t="s">
        <v>135</v>
      </c>
      <c r="B32" s="17"/>
      <c r="C32" s="17"/>
      <c r="D32" s="265">
        <f>(D$18*'Proposed Rate(s)'!D$33)</f>
        <v>126.25</v>
      </c>
      <c r="E32" s="120">
        <f>(E$18*'Proposed Rate(s)'!E$33)</f>
        <v>0</v>
      </c>
      <c r="F32" s="120">
        <f>SUM(D32:E32)</f>
        <v>126.25</v>
      </c>
      <c r="G32" s="82"/>
      <c r="H32" s="71"/>
      <c r="I32" s="120">
        <f>(I$18*'Proposed Rate(s)'!G$33)</f>
        <v>0</v>
      </c>
      <c r="J32" s="117"/>
      <c r="K32" s="120">
        <f>(K$18*'Proposed Rate(s)'!I$33)</f>
        <v>0</v>
      </c>
      <c r="L32" s="117"/>
      <c r="M32" s="120">
        <f>(M$18*'Proposed Rate(s)'!K$33)</f>
        <v>0</v>
      </c>
      <c r="N32" s="117"/>
      <c r="O32" s="125">
        <f t="shared" si="1"/>
        <v>0</v>
      </c>
      <c r="P32" s="71"/>
      <c r="Q32" s="63"/>
      <c r="R32" s="9"/>
    </row>
    <row r="33" spans="1:18" s="8" customFormat="1" ht="12.75">
      <c r="A33" s="9" t="s">
        <v>150</v>
      </c>
      <c r="B33" s="17"/>
      <c r="C33" s="17"/>
      <c r="D33" s="265">
        <f>('Revenue Summary'!D$17*'Proposed Rate(s)'!D$25)+(D$18*'Proposed Rate(s)'!D$34)</f>
        <v>5750</v>
      </c>
      <c r="E33" s="142">
        <f>('Revenue Summary'!E$17*'Proposed Rate(s)'!E$25)+(E$18*'Proposed Rate(s)'!E$34)</f>
        <v>1203.125</v>
      </c>
      <c r="F33" s="120">
        <f>SUM(D33:E33)</f>
        <v>6953.125</v>
      </c>
      <c r="G33" s="82"/>
      <c r="H33" s="71"/>
      <c r="I33" s="142">
        <f>('Revenue Summary'!I$17*'Proposed Rate(s)'!G$25)+(I$18*'Proposed Rate(s)'!G$34)</f>
        <v>0</v>
      </c>
      <c r="J33" s="117"/>
      <c r="K33" s="142">
        <f>('Revenue Summary'!K$17*'Proposed Rate(s)'!I$25)+(K$18*'Proposed Rate(s)'!I$34)</f>
        <v>0</v>
      </c>
      <c r="L33" s="117"/>
      <c r="M33" s="142">
        <f>('Revenue Summary'!M$17*'Proposed Rate(s)'!K$25)+(M$18*'Proposed Rate(s)'!K$34)</f>
        <v>0</v>
      </c>
      <c r="N33" s="117"/>
      <c r="O33" s="125">
        <f t="shared" si="1"/>
        <v>0</v>
      </c>
      <c r="P33" s="71"/>
      <c r="Q33" s="63"/>
      <c r="R33" s="9"/>
    </row>
    <row r="34" spans="1:18" s="8" customFormat="1" ht="12.75">
      <c r="A34" s="9" t="s">
        <v>0</v>
      </c>
      <c r="B34" s="17"/>
      <c r="C34" s="17"/>
      <c r="D34" s="271">
        <f>SUM(D30:D33)</f>
        <v>74925</v>
      </c>
      <c r="E34" s="129">
        <f>SUM(E30:E33)</f>
        <v>17690</v>
      </c>
      <c r="F34" s="129">
        <f>SUM(D34:E34)</f>
        <v>92615</v>
      </c>
      <c r="G34" s="74"/>
      <c r="H34" s="56"/>
      <c r="I34" s="129">
        <f>SUM(I30:I33)</f>
        <v>0</v>
      </c>
      <c r="J34" s="136"/>
      <c r="K34" s="129">
        <f>SUM(K30:K33)</f>
        <v>0</v>
      </c>
      <c r="L34" s="136"/>
      <c r="M34" s="129">
        <f>SUM(M30:M33)</f>
        <v>0</v>
      </c>
      <c r="N34" s="136"/>
      <c r="O34" s="143">
        <f t="shared" si="1"/>
        <v>0</v>
      </c>
      <c r="P34" s="71"/>
      <c r="Q34" s="63"/>
      <c r="R34" s="9"/>
    </row>
    <row r="35" spans="1:18" s="8" customFormat="1" ht="12.75">
      <c r="A35" s="9"/>
      <c r="B35" s="17"/>
      <c r="C35" s="17"/>
      <c r="D35" s="208"/>
      <c r="E35" s="125"/>
      <c r="F35" s="125"/>
      <c r="G35" s="84"/>
      <c r="H35" s="71"/>
      <c r="I35" s="125"/>
      <c r="J35" s="117"/>
      <c r="K35" s="125"/>
      <c r="L35" s="117"/>
      <c r="M35" s="125"/>
      <c r="N35" s="117"/>
      <c r="O35" s="125"/>
      <c r="P35" s="71"/>
      <c r="Q35" s="63"/>
      <c r="R35" s="9"/>
    </row>
    <row r="36" spans="1:18" s="8" customFormat="1" ht="12.75">
      <c r="A36" s="59" t="s">
        <v>140</v>
      </c>
      <c r="B36" s="17"/>
      <c r="C36" s="17"/>
      <c r="D36" s="265">
        <f>SUM(D30:D31)-'Expense Summary'!D29</f>
        <v>-643.308506223475</v>
      </c>
      <c r="E36" s="120">
        <f>SUM(E30:E31)-'Expense Summary'!E29</f>
        <v>30.39350622348138</v>
      </c>
      <c r="F36" s="120">
        <f>SUM(D36:E36)</f>
        <v>-612.9149999999936</v>
      </c>
      <c r="G36" s="74"/>
      <c r="H36" s="71"/>
      <c r="I36" s="120">
        <f>SUM(I30:I31)-'Expense Summary'!I29</f>
        <v>0</v>
      </c>
      <c r="J36" s="117"/>
      <c r="K36" s="120">
        <f>SUM(K30:K31)-'Expense Summary'!K29</f>
        <v>0</v>
      </c>
      <c r="L36" s="117"/>
      <c r="M36" s="120">
        <f>SUM(M30:M31)-'Expense Summary'!M29</f>
        <v>0</v>
      </c>
      <c r="N36" s="117"/>
      <c r="O36" s="125">
        <f t="shared" si="1"/>
        <v>0</v>
      </c>
      <c r="P36" s="71"/>
      <c r="Q36" s="63"/>
      <c r="R36" s="9"/>
    </row>
    <row r="37" spans="1:18" ht="12.75">
      <c r="A37" s="99" t="s">
        <v>141</v>
      </c>
      <c r="B37" s="2"/>
      <c r="C37" s="6"/>
      <c r="D37" s="282"/>
      <c r="E37" s="283"/>
      <c r="F37" s="283"/>
      <c r="G37" s="87"/>
      <c r="H37" s="46"/>
      <c r="I37" s="103"/>
      <c r="J37" s="46"/>
      <c r="K37" s="46"/>
      <c r="L37" s="46"/>
      <c r="M37" s="46"/>
      <c r="N37" s="46"/>
      <c r="O37" s="46"/>
      <c r="P37" s="2"/>
      <c r="Q37" s="2"/>
      <c r="R37" s="2"/>
    </row>
    <row r="38" ht="12.75">
      <c r="I38" s="104"/>
    </row>
    <row r="39" spans="1:18" s="8" customFormat="1" ht="12.75">
      <c r="A39" s="24"/>
      <c r="B39" s="17"/>
      <c r="C39" s="17"/>
      <c r="D39" s="68"/>
      <c r="E39" s="68"/>
      <c r="F39" s="68"/>
      <c r="G39" s="69"/>
      <c r="H39" s="71"/>
      <c r="I39" s="70"/>
      <c r="J39" s="71"/>
      <c r="K39" s="70"/>
      <c r="L39" s="71"/>
      <c r="M39" s="71"/>
      <c r="N39" s="71"/>
      <c r="O39" s="70"/>
      <c r="P39" s="71"/>
      <c r="Q39" s="63"/>
      <c r="R39" s="9"/>
    </row>
    <row r="40" spans="1:9" ht="12.75">
      <c r="A40" s="8"/>
      <c r="D40" s="95"/>
      <c r="E40" s="95"/>
      <c r="I40" s="104"/>
    </row>
    <row r="41" spans="1:9" ht="12.75">
      <c r="A41" s="8"/>
      <c r="D41" s="95"/>
      <c r="E41" s="95"/>
      <c r="I41" s="104"/>
    </row>
    <row r="42" ht="12.75">
      <c r="A42" s="18"/>
    </row>
    <row r="43" ht="12.75">
      <c r="G43" s="69"/>
    </row>
    <row r="44" ht="12.75">
      <c r="G44" s="69"/>
    </row>
  </sheetData>
  <sheetProtection password="CFCA" sheet="1" objects="1" scenarios="1"/>
  <mergeCells count="7">
    <mergeCell ref="D8:F8"/>
    <mergeCell ref="A3:O3"/>
    <mergeCell ref="A4:O4"/>
    <mergeCell ref="I8:I9"/>
    <mergeCell ref="K8:K9"/>
    <mergeCell ref="M8:M9"/>
    <mergeCell ref="C5:I5"/>
  </mergeCells>
  <printOptions gridLines="1"/>
  <pageMargins left="0.5" right="0.5" top="1" bottom="1" header="0.5" footer="0.5"/>
  <pageSetup fitToHeight="1" fitToWidth="1" horizontalDpi="600" verticalDpi="600" orientation="landscape" scale="89"/>
  <headerFooter alignWithMargins="0">
    <oddHeader>&amp;R&amp;"Arial,Bold"
</oddHeader>
    <oddFooter>&amp;LPrinted:&amp;D&amp;C&amp;F
&amp;A&amp;R3 Services FY 2017
Service Center Rate Cal Worksheet
Revised 6/28/16</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kyoakum</dc:creator>
  <cp:keywords/>
  <dc:description/>
  <cp:lastModifiedBy>Microsoft Office User</cp:lastModifiedBy>
  <cp:lastPrinted>2016-06-28T17:51:07Z</cp:lastPrinted>
  <dcterms:created xsi:type="dcterms:W3CDTF">2006-04-03T21:43:18Z</dcterms:created>
  <dcterms:modified xsi:type="dcterms:W3CDTF">2016-06-28T18:31:23Z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